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втосистема\Новости\9 Сентябрь 2021\Novol Прайсы\"/>
    </mc:Choice>
  </mc:AlternateContent>
  <bookViews>
    <workbookView xWindow="-120" yWindow="-120" windowWidth="20736" windowHeight="11160"/>
  </bookViews>
  <sheets>
    <sheet name="Калькулятор рубли" sheetId="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6" l="1"/>
  <c r="I19" i="6"/>
  <c r="D5" i="6"/>
  <c r="E5" i="6" s="1"/>
  <c r="D6" i="6"/>
  <c r="E6" i="6" s="1"/>
  <c r="D7" i="6"/>
  <c r="D8" i="6"/>
  <c r="E8" i="6" s="1"/>
  <c r="D9" i="6"/>
  <c r="E9" i="6" s="1"/>
  <c r="D10" i="6"/>
  <c r="E10" i="6" s="1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E7" i="6"/>
  <c r="E12" i="6"/>
  <c r="E13" i="6"/>
  <c r="E14" i="6"/>
  <c r="E15" i="6"/>
  <c r="E16" i="6"/>
  <c r="E18" i="6"/>
  <c r="E34" i="6" l="1"/>
  <c r="I24" i="6" l="1"/>
  <c r="I27" i="6"/>
  <c r="I31" i="6"/>
  <c r="I33" i="6"/>
  <c r="I34" i="6"/>
  <c r="I35" i="6"/>
  <c r="I38" i="6"/>
  <c r="I40" i="6"/>
  <c r="I42" i="6"/>
  <c r="I44" i="6"/>
  <c r="I46" i="6"/>
  <c r="I48" i="6"/>
  <c r="I50" i="6"/>
  <c r="I52" i="6"/>
  <c r="I54" i="6"/>
  <c r="I6" i="6"/>
  <c r="I7" i="6"/>
  <c r="I8" i="6"/>
  <c r="I9" i="6"/>
  <c r="I10" i="6"/>
  <c r="I5" i="6"/>
  <c r="E37" i="6" l="1"/>
  <c r="G37" i="6" l="1"/>
  <c r="I37" i="6"/>
  <c r="F37" i="6"/>
  <c r="F34" i="6" l="1"/>
  <c r="G34" i="6"/>
  <c r="E43" i="6" l="1"/>
  <c r="I43" i="6" s="1"/>
  <c r="E30" i="6"/>
  <c r="I30" i="6" s="1"/>
  <c r="E60" i="6" l="1"/>
  <c r="I60" i="6" s="1"/>
  <c r="E59" i="6"/>
  <c r="I59" i="6" s="1"/>
  <c r="E58" i="6"/>
  <c r="I58" i="6" s="1"/>
  <c r="E57" i="6"/>
  <c r="I57" i="6" s="1"/>
  <c r="E56" i="6"/>
  <c r="I56" i="6" s="1"/>
  <c r="E53" i="6"/>
  <c r="I53" i="6" s="1"/>
  <c r="E51" i="6"/>
  <c r="I51" i="6" s="1"/>
  <c r="E49" i="6"/>
  <c r="I49" i="6" s="1"/>
  <c r="E47" i="6"/>
  <c r="I47" i="6" s="1"/>
  <c r="E45" i="6"/>
  <c r="I45" i="6" s="1"/>
  <c r="E41" i="6"/>
  <c r="I41" i="6" s="1"/>
  <c r="E39" i="6"/>
  <c r="I39" i="6" s="1"/>
  <c r="E32" i="6"/>
  <c r="E29" i="6"/>
  <c r="I29" i="6" s="1"/>
  <c r="E28" i="6"/>
  <c r="I28" i="6" s="1"/>
  <c r="E26" i="6"/>
  <c r="I26" i="6" s="1"/>
  <c r="E25" i="6"/>
  <c r="I25" i="6" s="1"/>
  <c r="E23" i="6"/>
  <c r="I23" i="6" s="1"/>
  <c r="E22" i="6"/>
  <c r="I22" i="6" s="1"/>
  <c r="E20" i="6"/>
  <c r="I20" i="6" s="1"/>
  <c r="I18" i="6"/>
  <c r="I12" i="6"/>
  <c r="I13" i="6"/>
  <c r="I14" i="6"/>
  <c r="I15" i="6"/>
  <c r="I16" i="6"/>
  <c r="G32" i="6" l="1"/>
  <c r="I32" i="6"/>
  <c r="I61" i="6" s="1"/>
  <c r="G53" i="6"/>
  <c r="F53" i="6"/>
  <c r="G51" i="6"/>
  <c r="G49" i="6"/>
  <c r="F49" i="6"/>
  <c r="G47" i="6"/>
  <c r="F47" i="6"/>
  <c r="F45" i="6"/>
  <c r="G45" i="6"/>
  <c r="F43" i="6"/>
  <c r="G41" i="6"/>
  <c r="F41" i="6"/>
  <c r="G39" i="6"/>
  <c r="F39" i="6"/>
  <c r="F32" i="6"/>
  <c r="F30" i="6"/>
  <c r="F28" i="6"/>
  <c r="G26" i="6"/>
  <c r="F26" i="6"/>
  <c r="G23" i="6"/>
  <c r="F23" i="6"/>
  <c r="G20" i="6"/>
  <c r="F20" i="6"/>
  <c r="G18" i="6"/>
  <c r="F18" i="6"/>
  <c r="G28" i="6" l="1"/>
  <c r="G30" i="6"/>
  <c r="G43" i="6"/>
</calcChain>
</file>

<file path=xl/sharedStrings.xml><?xml version="1.0" encoding="utf-8"?>
<sst xmlns="http://schemas.openxmlformats.org/spreadsheetml/2006/main" count="106" uniqueCount="101">
  <si>
    <t>Наименование продукта</t>
  </si>
  <si>
    <t>прайс цена (УЕ)</t>
  </si>
  <si>
    <t>Отвердитель H6125 STANDARD 0,5л</t>
  </si>
  <si>
    <r>
      <t xml:space="preserve">Лак KLAR </t>
    </r>
    <r>
      <rPr>
        <b/>
        <sz val="14"/>
        <rFont val="Calibri"/>
        <family val="2"/>
        <charset val="204"/>
        <scheme val="minor"/>
      </rPr>
      <t>505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4"/>
        <rFont val="Calibri"/>
        <family val="2"/>
        <charset val="204"/>
        <scheme val="minor"/>
      </rPr>
      <t>VHS</t>
    </r>
    <r>
      <rPr>
        <sz val="14"/>
        <rFont val="Calibri"/>
        <family val="2"/>
        <charset val="204"/>
        <scheme val="minor"/>
      </rPr>
      <t xml:space="preserve"> 3:1 5л</t>
    </r>
  </si>
  <si>
    <r>
      <t xml:space="preserve">Отвердитель </t>
    </r>
    <r>
      <rPr>
        <b/>
        <sz val="14"/>
        <rFont val="Calibri"/>
        <family val="2"/>
        <charset val="204"/>
        <scheme val="minor"/>
      </rPr>
      <t>H6115</t>
    </r>
    <r>
      <rPr>
        <sz val="14"/>
        <rFont val="Calibri"/>
        <family val="2"/>
        <charset val="204"/>
        <scheme val="minor"/>
      </rPr>
      <t xml:space="preserve"> STANDARD 2,5л </t>
    </r>
    <r>
      <rPr>
        <sz val="14"/>
        <color rgb="FFFF0000"/>
        <rFont val="Calibri"/>
        <family val="2"/>
        <charset val="204"/>
        <scheme val="minor"/>
      </rPr>
      <t>(расход отвердителя 1,66л на канистру лака)</t>
    </r>
  </si>
  <si>
    <r>
      <t xml:space="preserve">Лак KLAR </t>
    </r>
    <r>
      <rPr>
        <b/>
        <sz val="14"/>
        <rFont val="Calibri"/>
        <family val="2"/>
        <charset val="204"/>
        <scheme val="minor"/>
      </rPr>
      <t>555</t>
    </r>
    <r>
      <rPr>
        <sz val="14"/>
        <rFont val="Calibri"/>
        <family val="2"/>
        <charset val="204"/>
        <scheme val="minor"/>
      </rPr>
      <t xml:space="preserve"> HS 2:1   (защита от царапин) 5л</t>
    </r>
  </si>
  <si>
    <r>
      <t xml:space="preserve">Отвердитель </t>
    </r>
    <r>
      <rPr>
        <b/>
        <sz val="14"/>
        <rFont val="Calibri"/>
        <family val="2"/>
        <charset val="204"/>
        <scheme val="minor"/>
      </rPr>
      <t>H6115</t>
    </r>
    <r>
      <rPr>
        <sz val="14"/>
        <rFont val="Calibri"/>
        <family val="2"/>
        <charset val="204"/>
        <scheme val="minor"/>
      </rPr>
      <t xml:space="preserve"> STANDARD 2,5л</t>
    </r>
  </si>
  <si>
    <r>
      <t xml:space="preserve">Отвердитель </t>
    </r>
    <r>
      <rPr>
        <b/>
        <sz val="14"/>
        <rFont val="Calibri"/>
        <family val="2"/>
        <charset val="204"/>
        <scheme val="minor"/>
      </rPr>
      <t>H6125</t>
    </r>
    <r>
      <rPr>
        <sz val="14"/>
        <rFont val="Calibri"/>
        <family val="2"/>
        <charset val="204"/>
        <scheme val="minor"/>
      </rPr>
      <t xml:space="preserve"> STANDARD 2,5л</t>
    </r>
  </si>
  <si>
    <t>Лак Lack 40 2:1   5л</t>
  </si>
  <si>
    <r>
      <t xml:space="preserve">Отвердитель </t>
    </r>
    <r>
      <rPr>
        <b/>
        <sz val="14"/>
        <rFont val="Calibri"/>
        <family val="2"/>
        <charset val="204"/>
        <scheme val="minor"/>
      </rPr>
      <t>Lack 40</t>
    </r>
    <r>
      <rPr>
        <sz val="14"/>
        <rFont val="Calibri"/>
        <family val="2"/>
        <charset val="204"/>
        <scheme val="minor"/>
      </rPr>
      <t xml:space="preserve"> 2,5л</t>
    </r>
  </si>
  <si>
    <r>
      <t xml:space="preserve">Лак KLAR </t>
    </r>
    <r>
      <rPr>
        <b/>
        <sz val="14"/>
        <rFont val="Calibri"/>
        <family val="2"/>
        <charset val="204"/>
        <scheme val="minor"/>
      </rPr>
      <t>575</t>
    </r>
    <r>
      <rPr>
        <sz val="14"/>
        <rFont val="Calibri"/>
        <family val="2"/>
        <charset val="204"/>
        <scheme val="minor"/>
      </rPr>
      <t xml:space="preserve"> МS 2:1:0,4  (защита от царапин) 5л</t>
    </r>
  </si>
  <si>
    <r>
      <t xml:space="preserve">Лак KLAR   </t>
    </r>
    <r>
      <rPr>
        <b/>
        <sz val="14"/>
        <rFont val="Calibri"/>
        <family val="2"/>
        <charset val="204"/>
        <scheme val="minor"/>
      </rPr>
      <t>565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4"/>
        <rFont val="Calibri"/>
        <family val="2"/>
        <charset val="204"/>
        <scheme val="minor"/>
      </rPr>
      <t>VHS</t>
    </r>
    <r>
      <rPr>
        <sz val="14"/>
        <rFont val="Calibri"/>
        <family val="2"/>
        <charset val="204"/>
        <scheme val="minor"/>
      </rPr>
      <t xml:space="preserve"> 2:1   5л</t>
    </r>
  </si>
  <si>
    <r>
      <t xml:space="preserve">Отвердитель  </t>
    </r>
    <r>
      <rPr>
        <b/>
        <sz val="14"/>
        <rFont val="Calibri"/>
        <family val="2"/>
        <charset val="204"/>
        <scheme val="minor"/>
      </rPr>
      <t>H6115</t>
    </r>
    <r>
      <rPr>
        <sz val="14"/>
        <rFont val="Calibri"/>
        <family val="2"/>
        <charset val="204"/>
        <scheme val="minor"/>
      </rPr>
      <t xml:space="preserve">   2,5л</t>
    </r>
  </si>
  <si>
    <t>Лак Lack 40 2:1   1л</t>
  </si>
  <si>
    <r>
      <t xml:space="preserve">Отвердитель </t>
    </r>
    <r>
      <rPr>
        <b/>
        <sz val="14"/>
        <rFont val="Calibri"/>
        <family val="2"/>
        <charset val="204"/>
        <scheme val="minor"/>
      </rPr>
      <t>Lack 40</t>
    </r>
    <r>
      <rPr>
        <sz val="14"/>
        <rFont val="Calibri"/>
        <family val="2"/>
        <charset val="204"/>
        <scheme val="minor"/>
      </rPr>
      <t xml:space="preserve"> 0,5л</t>
    </r>
  </si>
  <si>
    <r>
      <t xml:space="preserve">Отвердитель </t>
    </r>
    <r>
      <rPr>
        <b/>
        <sz val="14"/>
        <rFont val="Calibri"/>
        <family val="2"/>
        <charset val="204"/>
        <scheme val="minor"/>
      </rPr>
      <t xml:space="preserve">H6115 </t>
    </r>
    <r>
      <rPr>
        <sz val="14"/>
        <rFont val="Calibri"/>
        <family val="2"/>
        <charset val="204"/>
        <scheme val="minor"/>
      </rPr>
      <t>2,5л</t>
    </r>
  </si>
  <si>
    <t xml:space="preserve">цена за комплект со скидкой </t>
  </si>
  <si>
    <t xml:space="preserve">Цена за 1л продукта + добавки </t>
  </si>
  <si>
    <r>
      <t>Грунт Полиаспартановый экспресс наполнитель  UNDER</t>
    </r>
    <r>
      <rPr>
        <b/>
        <sz val="14"/>
        <rFont val="Calibri"/>
        <family val="2"/>
        <charset val="204"/>
        <scheme val="minor"/>
      </rPr>
      <t xml:space="preserve">   00-Race</t>
    </r>
    <r>
      <rPr>
        <sz val="14"/>
        <rFont val="Calibri"/>
        <family val="2"/>
        <charset val="204"/>
        <scheme val="minor"/>
      </rPr>
      <t xml:space="preserve"> (1:1)     0,7 л</t>
    </r>
  </si>
  <si>
    <r>
      <t xml:space="preserve">Лак KLAR </t>
    </r>
    <r>
      <rPr>
        <b/>
        <sz val="14"/>
        <rFont val="Calibri"/>
        <family val="2"/>
        <charset val="204"/>
        <scheme val="minor"/>
      </rPr>
      <t>525-00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4"/>
        <rFont val="Calibri"/>
        <family val="2"/>
        <charset val="204"/>
        <scheme val="minor"/>
      </rPr>
      <t>VHS</t>
    </r>
    <r>
      <rPr>
        <sz val="14"/>
        <rFont val="Calibri"/>
        <family val="2"/>
        <charset val="204"/>
        <scheme val="minor"/>
      </rPr>
      <t xml:space="preserve"> 2:1 5л</t>
    </r>
  </si>
  <si>
    <t>Шпатлевки Spectral</t>
  </si>
  <si>
    <t>прайс цена (УЕ) со скидкой</t>
  </si>
  <si>
    <t>Добавки Spectral</t>
  </si>
  <si>
    <t>Грунты Spectral</t>
  </si>
  <si>
    <t>ИТОГ:</t>
  </si>
  <si>
    <r>
      <t xml:space="preserve">Лак  </t>
    </r>
    <r>
      <rPr>
        <b/>
        <sz val="14"/>
        <rFont val="Calibri"/>
        <family val="2"/>
        <charset val="204"/>
        <scheme val="minor"/>
      </rPr>
      <t>535</t>
    </r>
    <r>
      <rPr>
        <sz val="14"/>
        <rFont val="Calibri"/>
        <family val="2"/>
        <charset val="204"/>
        <scheme val="minor"/>
      </rPr>
      <t xml:space="preserve"> матовый 2:1 HS (защита от царапин) 1л</t>
    </r>
  </si>
  <si>
    <r>
      <t xml:space="preserve">Грунт мокро по мокрому  </t>
    </r>
    <r>
      <rPr>
        <b/>
        <sz val="14"/>
        <rFont val="Calibri"/>
        <family val="2"/>
        <charset val="204"/>
        <scheme val="minor"/>
      </rPr>
      <t>Р1/Р3/Р5</t>
    </r>
    <r>
      <rPr>
        <sz val="14"/>
        <rFont val="Calibri"/>
        <family val="2"/>
        <charset val="204"/>
        <scheme val="minor"/>
      </rPr>
      <t xml:space="preserve"> (3:1:1,2) UNDER </t>
    </r>
    <r>
      <rPr>
        <b/>
        <sz val="14"/>
        <rFont val="Calibri"/>
        <family val="2"/>
        <charset val="204"/>
        <scheme val="minor"/>
      </rPr>
      <t>325 (</t>
    </r>
    <r>
      <rPr>
        <sz val="14"/>
        <rFont val="Calibri"/>
        <family val="2"/>
        <charset val="204"/>
        <scheme val="minor"/>
      </rPr>
      <t>0,75л)</t>
    </r>
  </si>
  <si>
    <r>
      <t xml:space="preserve">Шпатлевка универсальная SPECTRAL   </t>
    </r>
    <r>
      <rPr>
        <b/>
        <sz val="14"/>
        <rFont val="Calibri"/>
        <family val="2"/>
        <charset val="204"/>
        <scheme val="minor"/>
      </rPr>
      <t>SOFT</t>
    </r>
    <r>
      <rPr>
        <sz val="14"/>
        <rFont val="Calibri"/>
        <family val="2"/>
        <charset val="204"/>
        <scheme val="minor"/>
      </rPr>
      <t xml:space="preserve">  (1,8 кг)</t>
    </r>
  </si>
  <si>
    <r>
      <t>Шпатлёвка лёгкая SPECTRAL</t>
    </r>
    <r>
      <rPr>
        <b/>
        <sz val="14"/>
        <rFont val="Calibri"/>
        <family val="2"/>
        <charset val="204"/>
        <scheme val="minor"/>
      </rPr>
      <t xml:space="preserve">   SOFT LIGHT  (</t>
    </r>
    <r>
      <rPr>
        <sz val="14"/>
        <rFont val="Calibri"/>
        <family val="2"/>
        <charset val="204"/>
        <scheme val="minor"/>
      </rPr>
      <t xml:space="preserve">1 л )                  </t>
    </r>
  </si>
  <si>
    <r>
      <t xml:space="preserve">Шпатлёвка отделочная SPECTRAL  </t>
    </r>
    <r>
      <rPr>
        <b/>
        <sz val="14"/>
        <rFont val="Calibri"/>
        <family val="2"/>
        <charset val="204"/>
        <scheme val="minor"/>
      </rPr>
      <t>FINAL</t>
    </r>
    <r>
      <rPr>
        <sz val="14"/>
        <rFont val="Calibri"/>
        <family val="2"/>
        <charset val="204"/>
        <scheme val="minor"/>
      </rPr>
      <t xml:space="preserve"> (1,0 кг)</t>
    </r>
  </si>
  <si>
    <r>
      <t xml:space="preserve">Шпатлевка на пластик  SPECTRAL  </t>
    </r>
    <r>
      <rPr>
        <b/>
        <sz val="14"/>
        <rFont val="Calibri"/>
        <family val="2"/>
        <charset val="204"/>
        <scheme val="minor"/>
      </rPr>
      <t>PLAST</t>
    </r>
    <r>
      <rPr>
        <sz val="14"/>
        <rFont val="Calibri"/>
        <family val="2"/>
        <charset val="204"/>
        <scheme val="minor"/>
      </rPr>
      <t xml:space="preserve"> (0,5 кг)</t>
    </r>
  </si>
  <si>
    <r>
      <t xml:space="preserve">Шпатлевка стекловолокно SPECTRAL  </t>
    </r>
    <r>
      <rPr>
        <b/>
        <sz val="14"/>
        <rFont val="Calibri"/>
        <family val="2"/>
        <charset val="204"/>
        <scheme val="minor"/>
      </rPr>
      <t>FM</t>
    </r>
    <r>
      <rPr>
        <sz val="14"/>
        <rFont val="Calibri"/>
        <family val="2"/>
        <charset val="204"/>
        <scheme val="minor"/>
      </rPr>
      <t xml:space="preserve"> (1,0 кг)</t>
    </r>
  </si>
  <si>
    <r>
      <t xml:space="preserve">Грунт увеличивающий адгезию SPECTRAL </t>
    </r>
    <r>
      <rPr>
        <b/>
        <sz val="14"/>
        <rFont val="Calibri"/>
        <family val="2"/>
        <charset val="204"/>
        <scheme val="minor"/>
      </rPr>
      <t>PLAST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4"/>
        <rFont val="Calibri"/>
        <family val="2"/>
        <charset val="204"/>
        <scheme val="minor"/>
      </rPr>
      <t>705</t>
    </r>
    <r>
      <rPr>
        <sz val="14"/>
        <rFont val="Calibri"/>
        <family val="2"/>
        <charset val="204"/>
        <scheme val="minor"/>
      </rPr>
      <t xml:space="preserve"> ( 0,5 л)</t>
    </r>
  </si>
  <si>
    <r>
      <t xml:space="preserve">Добавка увеличивающая эластичность SPECTRAL  </t>
    </r>
    <r>
      <rPr>
        <b/>
        <sz val="14"/>
        <rFont val="Calibri"/>
        <family val="2"/>
        <charset val="204"/>
        <scheme val="minor"/>
      </rPr>
      <t>PLAST 775 (</t>
    </r>
    <r>
      <rPr>
        <sz val="14"/>
        <rFont val="Calibri"/>
        <family val="2"/>
        <charset val="204"/>
        <scheme val="minor"/>
      </rPr>
      <t>0,5 л)</t>
    </r>
  </si>
  <si>
    <r>
      <t xml:space="preserve">Грунт увеличивающий адгезию SPECTRAL </t>
    </r>
    <r>
      <rPr>
        <b/>
        <sz val="14"/>
        <rFont val="Calibri"/>
        <family val="2"/>
        <charset val="204"/>
        <scheme val="minor"/>
      </rPr>
      <t>PLAST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4"/>
        <rFont val="Calibri"/>
        <family val="2"/>
        <charset val="204"/>
        <scheme val="minor"/>
      </rPr>
      <t>705</t>
    </r>
    <r>
      <rPr>
        <sz val="14"/>
        <rFont val="Calibri"/>
        <family val="2"/>
        <charset val="204"/>
        <scheme val="minor"/>
      </rPr>
      <t xml:space="preserve">  </t>
    </r>
    <r>
      <rPr>
        <b/>
        <sz val="14"/>
        <rFont val="Calibri"/>
        <family val="2"/>
        <charset val="204"/>
        <scheme val="minor"/>
      </rPr>
      <t xml:space="preserve">Spray </t>
    </r>
    <r>
      <rPr>
        <sz val="14"/>
        <rFont val="Calibri"/>
        <family val="2"/>
        <charset val="204"/>
        <scheme val="minor"/>
      </rPr>
      <t xml:space="preserve"> (0,5 л)</t>
    </r>
  </si>
  <si>
    <r>
      <t xml:space="preserve">Отвердитель к грунту </t>
    </r>
    <r>
      <rPr>
        <b/>
        <sz val="14"/>
        <rFont val="Calibri"/>
        <family val="2"/>
        <charset val="204"/>
        <scheme val="minor"/>
      </rPr>
      <t>H6525</t>
    </r>
    <r>
      <rPr>
        <sz val="14"/>
        <rFont val="Calibri"/>
        <family val="2"/>
        <charset val="204"/>
        <scheme val="minor"/>
      </rPr>
      <t xml:space="preserve"> (0,25л)</t>
    </r>
  </si>
  <si>
    <r>
      <t xml:space="preserve">Грунт универсальный  </t>
    </r>
    <r>
      <rPr>
        <b/>
        <sz val="14"/>
        <rFont val="Calibri"/>
        <family val="2"/>
        <charset val="204"/>
        <scheme val="minor"/>
      </rPr>
      <t xml:space="preserve">Р1/P3/Р5 </t>
    </r>
    <r>
      <rPr>
        <sz val="14"/>
        <rFont val="Calibri"/>
        <family val="2"/>
        <charset val="204"/>
        <scheme val="minor"/>
      </rPr>
      <t xml:space="preserve">(5:1:2) UNDER </t>
    </r>
    <r>
      <rPr>
        <b/>
        <sz val="14"/>
        <rFont val="Calibri"/>
        <family val="2"/>
        <charset val="204"/>
        <scheme val="minor"/>
      </rPr>
      <t>335</t>
    </r>
    <r>
      <rPr>
        <sz val="14"/>
        <rFont val="Calibri"/>
        <family val="2"/>
        <charset val="204"/>
        <scheme val="minor"/>
      </rPr>
      <t xml:space="preserve"> (3,5л)</t>
    </r>
  </si>
  <si>
    <r>
      <t xml:space="preserve">Смывка антистатик для пластика SPECTRAL </t>
    </r>
    <r>
      <rPr>
        <b/>
        <sz val="14"/>
        <rFont val="Calibri"/>
        <family val="2"/>
        <charset val="204"/>
        <scheme val="minor"/>
      </rPr>
      <t>PLAST</t>
    </r>
    <r>
      <rPr>
        <sz val="14"/>
        <rFont val="Calibri"/>
        <family val="2"/>
        <charset val="204"/>
        <scheme val="minor"/>
      </rPr>
      <t xml:space="preserve">  </t>
    </r>
    <r>
      <rPr>
        <b/>
        <sz val="14"/>
        <rFont val="Calibri"/>
        <family val="2"/>
        <charset val="204"/>
        <scheme val="minor"/>
      </rPr>
      <t>815</t>
    </r>
    <r>
      <rPr>
        <sz val="14"/>
        <rFont val="Calibri"/>
        <family val="2"/>
        <charset val="204"/>
        <scheme val="minor"/>
      </rPr>
      <t xml:space="preserve"> ( 1 л)</t>
    </r>
  </si>
  <si>
    <r>
      <t>Шпатлёвка со стекловолокном легкая</t>
    </r>
    <r>
      <rPr>
        <sz val="14"/>
        <rFont val="Arial CE"/>
        <family val="2"/>
        <charset val="238"/>
      </rPr>
      <t xml:space="preserve"> </t>
    </r>
    <r>
      <rPr>
        <b/>
        <sz val="14"/>
        <rFont val="Arial CE"/>
        <family val="2"/>
        <charset val="238"/>
      </rPr>
      <t xml:space="preserve"> </t>
    </r>
    <r>
      <rPr>
        <sz val="14"/>
        <rFont val="Calibri"/>
        <family val="2"/>
        <charset val="204"/>
        <scheme val="minor"/>
      </rPr>
      <t>SPECTRAL</t>
    </r>
    <r>
      <rPr>
        <b/>
        <sz val="14"/>
        <rFont val="Arial CE"/>
        <family val="2"/>
        <charset val="238"/>
      </rPr>
      <t xml:space="preserve">  </t>
    </r>
    <r>
      <rPr>
        <b/>
        <sz val="14"/>
        <rFont val="Calibri"/>
        <family val="2"/>
        <charset val="204"/>
        <scheme val="minor"/>
      </rPr>
      <t>FIBER LIGHT</t>
    </r>
    <r>
      <rPr>
        <b/>
        <sz val="14"/>
        <rFont val="Arial CE"/>
        <family val="2"/>
        <charset val="238"/>
      </rPr>
      <t xml:space="preserve">  (</t>
    </r>
    <r>
      <rPr>
        <sz val="14"/>
        <rFont val="Calibri"/>
        <family val="2"/>
        <charset val="204"/>
      </rPr>
      <t>1 л)</t>
    </r>
  </si>
  <si>
    <r>
      <t xml:space="preserve">Отвердитель к грунту </t>
    </r>
    <r>
      <rPr>
        <b/>
        <sz val="14"/>
        <rFont val="Calibri"/>
        <family val="2"/>
        <charset val="204"/>
        <scheme val="minor"/>
      </rPr>
      <t>H6525</t>
    </r>
    <r>
      <rPr>
        <sz val="14"/>
        <rFont val="Calibri"/>
        <family val="2"/>
        <charset val="204"/>
        <scheme val="minor"/>
      </rPr>
      <t xml:space="preserve"> (0,7л)</t>
    </r>
  </si>
  <si>
    <r>
      <t xml:space="preserve">Грунт кислотный  </t>
    </r>
    <r>
      <rPr>
        <b/>
        <sz val="14"/>
        <rFont val="Calibri"/>
        <family val="2"/>
        <charset val="204"/>
        <scheme val="minor"/>
      </rPr>
      <t>345</t>
    </r>
    <r>
      <rPr>
        <sz val="14"/>
        <rFont val="Calibri"/>
        <family val="2"/>
        <charset val="204"/>
        <scheme val="minor"/>
      </rPr>
      <t xml:space="preserve"> (1:1) (0,2л + 0,2 л)</t>
    </r>
  </si>
  <si>
    <r>
      <t xml:space="preserve">Грунт порозаполнитель (FLEX) (4:1)  UNDER  </t>
    </r>
    <r>
      <rPr>
        <b/>
        <sz val="14"/>
        <rFont val="Calibri"/>
        <family val="2"/>
        <charset val="204"/>
        <scheme val="minor"/>
      </rPr>
      <t>355</t>
    </r>
    <r>
      <rPr>
        <sz val="14"/>
        <rFont val="Calibri"/>
        <family val="2"/>
        <charset val="204"/>
        <scheme val="minor"/>
      </rPr>
      <t xml:space="preserve"> (2,8л)</t>
    </r>
  </si>
  <si>
    <r>
      <t xml:space="preserve">Акриловый грунт порозаполнитель UNDER </t>
    </r>
    <r>
      <rPr>
        <b/>
        <sz val="14"/>
        <rFont val="Calibri"/>
        <family val="2"/>
        <charset val="204"/>
        <scheme val="minor"/>
      </rPr>
      <t xml:space="preserve">355 SPRAY </t>
    </r>
    <r>
      <rPr>
        <sz val="14"/>
        <rFont val="Calibri"/>
        <family val="2"/>
        <charset val="204"/>
        <scheme val="minor"/>
      </rPr>
      <t>(0,5 л)</t>
    </r>
  </si>
  <si>
    <t xml:space="preserve">SOFT </t>
  </si>
  <si>
    <t xml:space="preserve">SOFT LIGHT </t>
  </si>
  <si>
    <t>FINAL</t>
  </si>
  <si>
    <t>FM</t>
  </si>
  <si>
    <t>FIBER LIGHT</t>
  </si>
  <si>
    <t>PLAST</t>
  </si>
  <si>
    <t>PLAST 825</t>
  </si>
  <si>
    <t>PLAST 775</t>
  </si>
  <si>
    <t>PLAST 705</t>
  </si>
  <si>
    <t xml:space="preserve">Spray PLAST 705 </t>
  </si>
  <si>
    <t>PLAST 815</t>
  </si>
  <si>
    <t>АРТ.</t>
  </si>
  <si>
    <t>UNDER 325</t>
  </si>
  <si>
    <t>UNDER 335</t>
  </si>
  <si>
    <t>UNDER  355</t>
  </si>
  <si>
    <t>Кислотный  345</t>
  </si>
  <si>
    <t xml:space="preserve">SPRAY 355 </t>
  </si>
  <si>
    <t xml:space="preserve">UNDER 365 </t>
  </si>
  <si>
    <r>
      <t>Грунт универс. по катафорезу</t>
    </r>
    <r>
      <rPr>
        <b/>
        <sz val="14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 xml:space="preserve">P1/P3/P5 </t>
    </r>
    <r>
      <rPr>
        <sz val="12"/>
        <rFont val="Calibri"/>
        <family val="2"/>
        <charset val="204"/>
        <scheme val="minor"/>
      </rPr>
      <t xml:space="preserve">(4:1:1) </t>
    </r>
    <r>
      <rPr>
        <sz val="14"/>
        <rFont val="Calibri"/>
        <family val="2"/>
        <charset val="204"/>
        <scheme val="minor"/>
      </rPr>
      <t xml:space="preserve">UNDER </t>
    </r>
    <r>
      <rPr>
        <b/>
        <sz val="14"/>
        <rFont val="Calibri"/>
        <family val="2"/>
        <charset val="204"/>
        <scheme val="minor"/>
      </rPr>
      <t>365</t>
    </r>
    <r>
      <rPr>
        <sz val="14"/>
        <rFont val="Calibri"/>
        <family val="2"/>
        <charset val="204"/>
        <scheme val="minor"/>
      </rPr>
      <t xml:space="preserve">  (4:1:1)  (2,8 л)</t>
    </r>
  </si>
  <si>
    <r>
      <t xml:space="preserve">Грунт эпоксидный  </t>
    </r>
    <r>
      <rPr>
        <b/>
        <sz val="14"/>
        <rFont val="Calibri"/>
        <family val="2"/>
        <charset val="204"/>
        <scheme val="minor"/>
      </rPr>
      <t>UNDER 385</t>
    </r>
    <r>
      <rPr>
        <sz val="14"/>
        <rFont val="Calibri"/>
        <family val="2"/>
        <charset val="204"/>
        <scheme val="minor"/>
      </rPr>
      <t xml:space="preserve"> 0,8л + отв. </t>
    </r>
    <r>
      <rPr>
        <b/>
        <sz val="14"/>
        <rFont val="Calibri"/>
        <family val="2"/>
        <charset val="204"/>
        <scheme val="minor"/>
      </rPr>
      <t>H6985</t>
    </r>
    <r>
      <rPr>
        <sz val="14"/>
        <rFont val="Calibri"/>
        <family val="2"/>
        <charset val="204"/>
        <scheme val="minor"/>
      </rPr>
      <t xml:space="preserve"> 0,8л</t>
    </r>
  </si>
  <si>
    <t>UNDER 385</t>
  </si>
  <si>
    <t>SPRAY 395</t>
  </si>
  <si>
    <r>
      <t xml:space="preserve">Эпоксидный грунт в </t>
    </r>
    <r>
      <rPr>
        <b/>
        <sz val="14"/>
        <rFont val="Calibri"/>
        <family val="2"/>
        <charset val="204"/>
        <scheme val="minor"/>
      </rPr>
      <t>аэрозоле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>P1/P2/P4</t>
    </r>
    <r>
      <rPr>
        <sz val="14"/>
        <rFont val="Calibri"/>
        <family val="2"/>
        <charset val="204"/>
        <scheme val="minor"/>
      </rPr>
      <t xml:space="preserve">   </t>
    </r>
    <r>
      <rPr>
        <b/>
        <sz val="14"/>
        <rFont val="Calibri"/>
        <family val="2"/>
        <charset val="204"/>
        <scheme val="minor"/>
      </rPr>
      <t>UNDER</t>
    </r>
    <r>
      <rPr>
        <sz val="14"/>
        <rFont val="Calibri"/>
        <family val="2"/>
        <charset val="204"/>
        <scheme val="minor"/>
      </rPr>
      <t xml:space="preserve">  </t>
    </r>
    <r>
      <rPr>
        <b/>
        <sz val="14"/>
        <rFont val="Calibri"/>
        <family val="2"/>
        <charset val="204"/>
        <scheme val="minor"/>
      </rPr>
      <t>395  (</t>
    </r>
    <r>
      <rPr>
        <sz val="14"/>
        <rFont val="Calibri"/>
        <family val="2"/>
        <charset val="204"/>
        <scheme val="minor"/>
      </rPr>
      <t>0,5л)</t>
    </r>
  </si>
  <si>
    <t>00-Race</t>
  </si>
  <si>
    <t>UNDER 355-00</t>
  </si>
  <si>
    <r>
      <t xml:space="preserve">Грунт сильнозаполняющий  </t>
    </r>
    <r>
      <rPr>
        <b/>
        <sz val="14"/>
        <rFont val="Calibri"/>
        <family val="2"/>
        <charset val="204"/>
        <scheme val="minor"/>
      </rPr>
      <t>Р1/Р3/Р5</t>
    </r>
    <r>
      <rPr>
        <sz val="14"/>
        <rFont val="Calibri"/>
        <family val="2"/>
        <charset val="204"/>
        <scheme val="minor"/>
      </rPr>
      <t xml:space="preserve"> (4:1)  UNDER  </t>
    </r>
    <r>
      <rPr>
        <b/>
        <sz val="14"/>
        <rFont val="Calibri"/>
        <family val="2"/>
        <charset val="204"/>
        <scheme val="minor"/>
      </rPr>
      <t xml:space="preserve">355-00  </t>
    </r>
    <r>
      <rPr>
        <sz val="14"/>
        <rFont val="Calibri"/>
        <family val="2"/>
        <charset val="204"/>
        <scheme val="minor"/>
      </rPr>
      <t>(4:1:0,4) (2,8л)</t>
    </r>
  </si>
  <si>
    <t>Лаки  Spectral</t>
  </si>
  <si>
    <t>UNDER 365-00</t>
  </si>
  <si>
    <r>
      <t>Грунт универс. по катафорезу</t>
    </r>
    <r>
      <rPr>
        <b/>
        <sz val="14"/>
        <rFont val="Calibri"/>
        <family val="2"/>
        <charset val="204"/>
        <scheme val="minor"/>
      </rPr>
      <t xml:space="preserve"> </t>
    </r>
    <r>
      <rPr>
        <b/>
        <sz val="12"/>
        <rFont val="Calibri"/>
        <family val="2"/>
        <charset val="204"/>
        <scheme val="minor"/>
      </rPr>
      <t xml:space="preserve">P1/P3/P5  </t>
    </r>
    <r>
      <rPr>
        <sz val="14"/>
        <rFont val="Calibri"/>
        <family val="2"/>
        <charset val="204"/>
        <scheme val="minor"/>
      </rPr>
      <t xml:space="preserve">UNDER </t>
    </r>
    <r>
      <rPr>
        <b/>
        <sz val="14"/>
        <rFont val="Calibri"/>
        <family val="2"/>
        <charset val="204"/>
        <scheme val="minor"/>
      </rPr>
      <t>365-00</t>
    </r>
    <r>
      <rPr>
        <sz val="14"/>
        <rFont val="Calibri"/>
        <family val="2"/>
        <charset val="204"/>
        <scheme val="minor"/>
      </rPr>
      <t xml:space="preserve">  (3:1:1,2)  (2,8 л)</t>
    </r>
  </si>
  <si>
    <r>
      <t xml:space="preserve">Отвердитель к грунту  </t>
    </r>
    <r>
      <rPr>
        <b/>
        <sz val="14"/>
        <rFont val="Calibri"/>
        <family val="2"/>
        <charset val="204"/>
        <scheme val="minor"/>
      </rPr>
      <t>H6525</t>
    </r>
    <r>
      <rPr>
        <sz val="14"/>
        <rFont val="Calibri"/>
        <family val="2"/>
        <charset val="204"/>
        <scheme val="minor"/>
      </rPr>
      <t xml:space="preserve"> (0,7л)</t>
    </r>
  </si>
  <si>
    <t>565-00 VHS</t>
  </si>
  <si>
    <r>
      <t xml:space="preserve">Лак KLAR  </t>
    </r>
    <r>
      <rPr>
        <b/>
        <sz val="14"/>
        <rFont val="Calibri"/>
        <family val="2"/>
        <charset val="204"/>
        <scheme val="minor"/>
      </rPr>
      <t>565-00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4"/>
        <rFont val="Calibri"/>
        <family val="2"/>
        <charset val="204"/>
        <scheme val="minor"/>
      </rPr>
      <t>VHS</t>
    </r>
    <r>
      <rPr>
        <sz val="14"/>
        <rFont val="Calibri"/>
        <family val="2"/>
        <charset val="204"/>
        <scheme val="minor"/>
      </rPr>
      <t xml:space="preserve"> 2:1   5л</t>
    </r>
  </si>
  <si>
    <t>565 VHS</t>
  </si>
  <si>
    <t xml:space="preserve">525-00 VHS </t>
  </si>
  <si>
    <t>505 VHS</t>
  </si>
  <si>
    <t>555 HS</t>
  </si>
  <si>
    <t>575 МS 5л</t>
  </si>
  <si>
    <t>Lack 40 5л</t>
  </si>
  <si>
    <t>Lack 40 1л</t>
  </si>
  <si>
    <t>535 матовый</t>
  </si>
  <si>
    <t>Spray 895</t>
  </si>
  <si>
    <r>
      <t xml:space="preserve">Препарат для переходов по лаку  </t>
    </r>
    <r>
      <rPr>
        <b/>
        <sz val="14"/>
        <rFont val="Calibri"/>
        <family val="2"/>
        <charset val="204"/>
        <scheme val="minor"/>
      </rPr>
      <t>895</t>
    </r>
    <r>
      <rPr>
        <sz val="14"/>
        <rFont val="Calibri"/>
        <family val="2"/>
        <charset val="204"/>
        <scheme val="minor"/>
      </rPr>
      <t xml:space="preserve"> в аэрозоле  (0,5л)</t>
    </r>
  </si>
  <si>
    <t xml:space="preserve"> Доп. Продукты Spectral</t>
  </si>
  <si>
    <t xml:space="preserve">EXTRA 715   </t>
  </si>
  <si>
    <t>EXTRA 785</t>
  </si>
  <si>
    <t>SOLV 855</t>
  </si>
  <si>
    <r>
      <t xml:space="preserve">Средство для увеличения адгезии к цинку и алюминию  </t>
    </r>
    <r>
      <rPr>
        <b/>
        <sz val="14"/>
        <rFont val="Calibri"/>
        <family val="2"/>
        <charset val="204"/>
        <scheme val="minor"/>
      </rPr>
      <t xml:space="preserve"> EXTRA 715  (</t>
    </r>
    <r>
      <rPr>
        <sz val="14"/>
        <rFont val="Calibri"/>
        <family val="2"/>
        <charset val="204"/>
        <scheme val="minor"/>
      </rPr>
      <t>0,2л)</t>
    </r>
  </si>
  <si>
    <r>
      <t xml:space="preserve">Смывка силикона, обезжириватель </t>
    </r>
    <r>
      <rPr>
        <b/>
        <sz val="14"/>
        <rFont val="Calibri"/>
        <family val="2"/>
        <charset val="204"/>
        <scheme val="minor"/>
      </rPr>
      <t>EXTRA</t>
    </r>
    <r>
      <rPr>
        <sz val="14"/>
        <rFont val="Calibri"/>
        <family val="2"/>
        <charset val="204"/>
        <scheme val="minor"/>
      </rPr>
      <t xml:space="preserve"> </t>
    </r>
    <r>
      <rPr>
        <b/>
        <sz val="14"/>
        <rFont val="Calibri"/>
        <family val="2"/>
        <charset val="204"/>
        <scheme val="minor"/>
      </rPr>
      <t>785</t>
    </r>
    <r>
      <rPr>
        <sz val="14"/>
        <rFont val="Calibri"/>
        <family val="2"/>
        <charset val="204"/>
        <scheme val="minor"/>
      </rPr>
      <t xml:space="preserve"> (5л)</t>
    </r>
  </si>
  <si>
    <r>
      <t xml:space="preserve">Смывка силикона водная, обезжириватель  </t>
    </r>
    <r>
      <rPr>
        <b/>
        <sz val="14"/>
        <rFont val="Calibri"/>
        <family val="2"/>
        <charset val="204"/>
        <scheme val="minor"/>
      </rPr>
      <t>EXTRA  W785</t>
    </r>
    <r>
      <rPr>
        <sz val="14"/>
        <rFont val="Calibri"/>
        <family val="2"/>
        <charset val="204"/>
        <scheme val="minor"/>
      </rPr>
      <t xml:space="preserve">  (1л)</t>
    </r>
  </si>
  <si>
    <r>
      <t xml:space="preserve">Разбавитель для акриловых продуктов SOLV </t>
    </r>
    <r>
      <rPr>
        <b/>
        <sz val="14"/>
        <rFont val="Calibri"/>
        <family val="2"/>
        <charset val="204"/>
        <scheme val="minor"/>
      </rPr>
      <t>855</t>
    </r>
    <r>
      <rPr>
        <sz val="14"/>
        <rFont val="Calibri"/>
        <family val="2"/>
        <charset val="204"/>
        <scheme val="minor"/>
      </rPr>
      <t xml:space="preserve"> (5л)</t>
    </r>
  </si>
  <si>
    <t>EXTRA W785</t>
  </si>
  <si>
    <t>скидка %</t>
  </si>
  <si>
    <t>Курс УЕ</t>
  </si>
  <si>
    <t>СУММА</t>
  </si>
  <si>
    <t>ЗАКАЗ</t>
  </si>
  <si>
    <t xml:space="preserve">Цена за литр смеси
</t>
  </si>
  <si>
    <t>SPECTRAL  COLOR TECHNOLOGY</t>
  </si>
  <si>
    <r>
      <t xml:space="preserve">Добавка увеличивающая адгезию к пластмассам SPECTRAL  </t>
    </r>
    <r>
      <rPr>
        <b/>
        <sz val="14"/>
        <rFont val="Calibri"/>
        <family val="2"/>
        <charset val="204"/>
        <scheme val="minor"/>
      </rPr>
      <t>PLAST 825 (</t>
    </r>
    <r>
      <rPr>
        <sz val="14"/>
        <rFont val="Calibri"/>
        <family val="2"/>
        <charset val="204"/>
        <scheme val="minor"/>
      </rPr>
      <t>0,5 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</si>
</sst>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#,##0.00\ [$€-1]"/>
    <numFmt numFmtId="166" formatCode="#,##0.00&quot;р.&quot;"/>
    <numFmt numFmtId="167" formatCode="#,##0.00\ [$₽-419]"/>
    <numFmt numFmtId="168" formatCode="#,##0.00\ &quot;₽&quot;"/>
  </numFmts>
  <fonts count="2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E"/>
      <charset val="238"/>
    </font>
    <font>
      <sz val="14"/>
      <color indexed="8"/>
      <name val="Calibri"/>
      <family val="2"/>
      <charset val="204"/>
    </font>
    <font>
      <b/>
      <sz val="14"/>
      <name val="Arial CE"/>
      <family val="2"/>
      <charset val="238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name val="Arial CE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sz val="14"/>
      <color rgb="FFFF0000"/>
      <name val="Calibri"/>
      <family val="2"/>
      <charset val="204"/>
      <scheme val="minor"/>
    </font>
    <font>
      <b/>
      <sz val="12"/>
      <name val="Arial CE"/>
      <family val="2"/>
      <charset val="238"/>
    </font>
    <font>
      <b/>
      <sz val="14"/>
      <color theme="1"/>
      <name val="Calibri"/>
      <family val="2"/>
      <charset val="204"/>
      <scheme val="minor"/>
    </font>
    <font>
      <sz val="14"/>
      <name val="Arial CE"/>
      <family val="2"/>
      <charset val="238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6"/>
      <color rgb="FFFF0000"/>
      <name val="Arial CE"/>
      <family val="2"/>
      <charset val="238"/>
    </font>
    <font>
      <b/>
      <sz val="16"/>
      <color rgb="FFFF0000"/>
      <name val="Arial CE"/>
      <charset val="238"/>
    </font>
    <font>
      <b/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0" fontId="2" fillId="0" borderId="0"/>
    <xf numFmtId="0" fontId="4" fillId="0" borderId="0">
      <alignment vertical="top"/>
    </xf>
    <xf numFmtId="0" fontId="5" fillId="0" borderId="0"/>
    <xf numFmtId="164" fontId="1" fillId="0" borderId="0" applyFont="0" applyFill="0" applyBorder="0" applyAlignment="0" applyProtection="0"/>
    <xf numFmtId="0" fontId="2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0" xfId="0" applyFont="1" applyBorder="1"/>
    <xf numFmtId="165" fontId="11" fillId="2" borderId="4" xfId="0" applyNumberFormat="1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11" fillId="2" borderId="12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7" fontId="6" fillId="2" borderId="4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/>
    </xf>
    <xf numFmtId="168" fontId="9" fillId="0" borderId="0" xfId="0" applyNumberFormat="1" applyFont="1"/>
    <xf numFmtId="0" fontId="11" fillId="2" borderId="4" xfId="3" applyFont="1" applyFill="1" applyBorder="1" applyAlignment="1">
      <alignment vertical="center"/>
    </xf>
    <xf numFmtId="0" fontId="11" fillId="2" borderId="4" xfId="3" applyFont="1" applyFill="1" applyBorder="1" applyAlignment="1">
      <alignment horizontal="left" vertical="center"/>
    </xf>
    <xf numFmtId="0" fontId="13" fillId="2" borderId="4" xfId="3" applyFont="1" applyFill="1" applyBorder="1" applyAlignment="1">
      <alignment horizontal="left" vertical="center"/>
    </xf>
    <xf numFmtId="0" fontId="9" fillId="0" borderId="4" xfId="0" applyFont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left" vertical="center" wrapText="1" indent="1"/>
    </xf>
    <xf numFmtId="165" fontId="11" fillId="2" borderId="4" xfId="3" applyNumberFormat="1" applyFont="1" applyFill="1" applyBorder="1" applyAlignment="1">
      <alignment horizontal="center" vertical="center"/>
    </xf>
    <xf numFmtId="0" fontId="11" fillId="2" borderId="4" xfId="3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0" fontId="11" fillId="2" borderId="1" xfId="3" applyFont="1" applyFill="1" applyBorder="1" applyAlignment="1">
      <alignment vertical="center"/>
    </xf>
    <xf numFmtId="168" fontId="6" fillId="2" borderId="4" xfId="0" applyNumberFormat="1" applyFont="1" applyFill="1" applyBorder="1" applyAlignment="1">
      <alignment horizontal="center" vertical="center"/>
    </xf>
    <xf numFmtId="0" fontId="11" fillId="2" borderId="2" xfId="3" applyFont="1" applyFill="1" applyBorder="1" applyAlignment="1">
      <alignment vertical="center"/>
    </xf>
    <xf numFmtId="168" fontId="6" fillId="2" borderId="1" xfId="0" applyNumberFormat="1" applyFont="1" applyFill="1" applyBorder="1" applyAlignment="1">
      <alignment horizontal="center" vertical="center"/>
    </xf>
    <xf numFmtId="0" fontId="9" fillId="3" borderId="13" xfId="0" applyFont="1" applyFill="1" applyBorder="1"/>
    <xf numFmtId="165" fontId="11" fillId="3" borderId="14" xfId="0" applyNumberFormat="1" applyFont="1" applyFill="1" applyBorder="1" applyAlignment="1">
      <alignment horizontal="center" vertical="center"/>
    </xf>
    <xf numFmtId="167" fontId="6" fillId="3" borderId="14" xfId="0" applyNumberFormat="1" applyFont="1" applyFill="1" applyBorder="1" applyAlignment="1">
      <alignment horizontal="center" vertical="center"/>
    </xf>
    <xf numFmtId="165" fontId="13" fillId="3" borderId="14" xfId="0" applyNumberFormat="1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67" fontId="9" fillId="3" borderId="3" xfId="0" applyNumberFormat="1" applyFont="1" applyFill="1" applyBorder="1"/>
    <xf numFmtId="0" fontId="22" fillId="3" borderId="1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2" borderId="1" xfId="3" applyFont="1" applyFill="1" applyBorder="1" applyAlignment="1">
      <alignment horizontal="left" vertical="center"/>
    </xf>
    <xf numFmtId="0" fontId="9" fillId="3" borderId="15" xfId="0" applyFont="1" applyFill="1" applyBorder="1"/>
    <xf numFmtId="0" fontId="15" fillId="3" borderId="14" xfId="0" applyFont="1" applyFill="1" applyBorder="1" applyAlignment="1">
      <alignment horizontal="left" vertical="center" wrapText="1" indent="1"/>
    </xf>
    <xf numFmtId="166" fontId="10" fillId="3" borderId="14" xfId="0" applyNumberFormat="1" applyFont="1" applyFill="1" applyBorder="1" applyAlignment="1">
      <alignment horizontal="left" vertical="center" wrapText="1" indent="1"/>
    </xf>
    <xf numFmtId="0" fontId="9" fillId="3" borderId="14" xfId="0" applyFont="1" applyFill="1" applyBorder="1"/>
    <xf numFmtId="0" fontId="9" fillId="3" borderId="3" xfId="0" applyFont="1" applyFill="1" applyBorder="1"/>
    <xf numFmtId="0" fontId="11" fillId="2" borderId="2" xfId="3" applyFont="1" applyFill="1" applyBorder="1" applyAlignment="1">
      <alignment horizontal="left" vertical="center"/>
    </xf>
    <xf numFmtId="167" fontId="6" fillId="2" borderId="2" xfId="0" applyNumberFormat="1" applyFont="1" applyFill="1" applyBorder="1" applyAlignment="1">
      <alignment horizontal="center" vertical="center"/>
    </xf>
    <xf numFmtId="165" fontId="13" fillId="2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right"/>
    </xf>
    <xf numFmtId="167" fontId="21" fillId="0" borderId="1" xfId="0" applyNumberFormat="1" applyFont="1" applyBorder="1" applyAlignment="1">
      <alignment horizontal="right"/>
    </xf>
    <xf numFmtId="0" fontId="9" fillId="0" borderId="20" xfId="0" applyFont="1" applyBorder="1"/>
    <xf numFmtId="167" fontId="9" fillId="0" borderId="8" xfId="0" applyNumberFormat="1" applyFont="1" applyBorder="1"/>
    <xf numFmtId="0" fontId="9" fillId="0" borderId="21" xfId="0" applyFont="1" applyBorder="1"/>
    <xf numFmtId="167" fontId="9" fillId="0" borderId="7" xfId="0" applyNumberFormat="1" applyFont="1" applyBorder="1"/>
    <xf numFmtId="0" fontId="9" fillId="0" borderId="22" xfId="0" applyFont="1" applyBorder="1"/>
    <xf numFmtId="167" fontId="9" fillId="0" borderId="23" xfId="0" applyNumberFormat="1" applyFont="1" applyBorder="1"/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left"/>
    </xf>
    <xf numFmtId="0" fontId="9" fillId="0" borderId="19" xfId="0" applyFont="1" applyBorder="1"/>
    <xf numFmtId="0" fontId="11" fillId="2" borderId="12" xfId="3" applyFont="1" applyFill="1" applyBorder="1" applyAlignment="1">
      <alignment vertical="center"/>
    </xf>
    <xf numFmtId="167" fontId="6" fillId="2" borderId="12" xfId="0" applyNumberFormat="1" applyFont="1" applyFill="1" applyBorder="1" applyAlignment="1">
      <alignment horizontal="center" vertical="center"/>
    </xf>
    <xf numFmtId="165" fontId="13" fillId="2" borderId="12" xfId="0" applyNumberFormat="1" applyFont="1" applyFill="1" applyBorder="1" applyAlignment="1">
      <alignment horizontal="center" vertical="center"/>
    </xf>
    <xf numFmtId="167" fontId="9" fillId="0" borderId="11" xfId="0" applyNumberFormat="1" applyFont="1" applyBorder="1"/>
    <xf numFmtId="0" fontId="23" fillId="2" borderId="17" xfId="3" applyFont="1" applyFill="1" applyBorder="1" applyAlignment="1">
      <alignment horizontal="center" vertical="center"/>
    </xf>
    <xf numFmtId="165" fontId="23" fillId="2" borderId="4" xfId="3" applyNumberFormat="1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 wrapText="1"/>
    </xf>
    <xf numFmtId="166" fontId="10" fillId="2" borderId="12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9" fillId="3" borderId="16" xfId="0" applyFont="1" applyFill="1" applyBorder="1"/>
    <xf numFmtId="0" fontId="22" fillId="3" borderId="27" xfId="0" applyFont="1" applyFill="1" applyBorder="1" applyAlignment="1">
      <alignment horizontal="center" vertical="center"/>
    </xf>
    <xf numFmtId="165" fontId="11" fillId="3" borderId="27" xfId="0" applyNumberFormat="1" applyFont="1" applyFill="1" applyBorder="1" applyAlignment="1">
      <alignment horizontal="center" vertical="center"/>
    </xf>
    <xf numFmtId="167" fontId="6" fillId="3" borderId="27" xfId="0" applyNumberFormat="1" applyFont="1" applyFill="1" applyBorder="1" applyAlignment="1">
      <alignment horizontal="center" vertical="center"/>
    </xf>
    <xf numFmtId="165" fontId="13" fillId="3" borderId="27" xfId="0" applyNumberFormat="1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167" fontId="9" fillId="3" borderId="9" xfId="0" applyNumberFormat="1" applyFont="1" applyFill="1" applyBorder="1"/>
    <xf numFmtId="0" fontId="11" fillId="2" borderId="17" xfId="3" applyFont="1" applyFill="1" applyBorder="1" applyAlignment="1">
      <alignment vertical="center"/>
    </xf>
    <xf numFmtId="165" fontId="11" fillId="2" borderId="17" xfId="0" applyNumberFormat="1" applyFont="1" applyFill="1" applyBorder="1" applyAlignment="1">
      <alignment horizontal="center" vertical="center"/>
    </xf>
    <xf numFmtId="167" fontId="9" fillId="0" borderId="18" xfId="0" applyNumberFormat="1" applyFont="1" applyBorder="1" applyAlignment="1">
      <alignment vertical="center"/>
    </xf>
    <xf numFmtId="167" fontId="9" fillId="0" borderId="7" xfId="0" applyNumberFormat="1" applyFont="1" applyBorder="1" applyAlignment="1">
      <alignment vertical="center"/>
    </xf>
    <xf numFmtId="167" fontId="9" fillId="0" borderId="7" xfId="0" applyNumberFormat="1" applyFont="1" applyBorder="1" applyAlignment="1"/>
    <xf numFmtId="0" fontId="9" fillId="0" borderId="17" xfId="0" applyFont="1" applyBorder="1" applyAlignment="1">
      <alignment horizontal="center" vertical="center"/>
    </xf>
    <xf numFmtId="0" fontId="9" fillId="3" borderId="29" xfId="0" applyFont="1" applyFill="1" applyBorder="1"/>
    <xf numFmtId="0" fontId="22" fillId="3" borderId="10" xfId="0" applyFont="1" applyFill="1" applyBorder="1" applyAlignment="1">
      <alignment horizontal="center" vertical="center"/>
    </xf>
    <xf numFmtId="165" fontId="11" fillId="3" borderId="10" xfId="0" applyNumberFormat="1" applyFont="1" applyFill="1" applyBorder="1" applyAlignment="1">
      <alignment horizontal="center" vertical="center"/>
    </xf>
    <xf numFmtId="167" fontId="6" fillId="3" borderId="10" xfId="0" applyNumberFormat="1" applyFont="1" applyFill="1" applyBorder="1" applyAlignment="1">
      <alignment horizontal="center" vertical="center"/>
    </xf>
    <xf numFmtId="165" fontId="13" fillId="3" borderId="10" xfId="0" applyNumberFormat="1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167" fontId="9" fillId="3" borderId="30" xfId="0" applyNumberFormat="1" applyFont="1" applyFill="1" applyBorder="1"/>
    <xf numFmtId="0" fontId="9" fillId="0" borderId="4" xfId="0" applyFont="1" applyBorder="1" applyAlignment="1">
      <alignment horizontal="center"/>
    </xf>
    <xf numFmtId="168" fontId="6" fillId="2" borderId="12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168" fontId="6" fillId="2" borderId="4" xfId="0" applyNumberFormat="1" applyFont="1" applyFill="1" applyBorder="1" applyAlignment="1">
      <alignment horizontal="center" vertical="center"/>
    </xf>
    <xf numFmtId="168" fontId="6" fillId="2" borderId="17" xfId="0" applyNumberFormat="1" applyFont="1" applyFill="1" applyBorder="1" applyAlignment="1">
      <alignment horizontal="center" vertical="center"/>
    </xf>
    <xf numFmtId="168" fontId="6" fillId="2" borderId="12" xfId="0" applyNumberFormat="1" applyFont="1" applyFill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20" fillId="2" borderId="17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3" fillId="2" borderId="25" xfId="3" applyFont="1" applyFill="1" applyBorder="1" applyAlignment="1">
      <alignment horizontal="center" vertical="center"/>
    </xf>
    <xf numFmtId="0" fontId="23" fillId="2" borderId="26" xfId="3" applyFont="1" applyFill="1" applyBorder="1" applyAlignment="1">
      <alignment horizontal="center" vertical="center"/>
    </xf>
    <xf numFmtId="9" fontId="23" fillId="2" borderId="6" xfId="0" applyNumberFormat="1" applyFont="1" applyFill="1" applyBorder="1" applyAlignment="1">
      <alignment horizontal="center" vertical="center"/>
    </xf>
    <xf numFmtId="9" fontId="23" fillId="2" borderId="5" xfId="0" applyNumberFormat="1" applyFont="1" applyFill="1" applyBorder="1" applyAlignment="1">
      <alignment horizontal="center" vertical="center"/>
    </xf>
  </cellXfs>
  <cellStyles count="24">
    <cellStyle name="Normal 2" xfId="1"/>
    <cellStyle name="Normal_Book1" xfId="2"/>
    <cellStyle name="Normalny_zamówienie_oryginal" xfId="3"/>
    <cellStyle name="Денежный 2" xfId="4"/>
    <cellStyle name="Обычный" xfId="0" builtinId="0"/>
    <cellStyle name="Обычный 2" xfId="5"/>
    <cellStyle name="Обычный 2 10" xfId="6"/>
    <cellStyle name="Обычный 2 11" xfId="7"/>
    <cellStyle name="Обычный 2 12" xfId="8"/>
    <cellStyle name="Обычный 2 13" xfId="9"/>
    <cellStyle name="Обычный 2 14" xfId="10"/>
    <cellStyle name="Обычный 2 15" xfId="11"/>
    <cellStyle name="Обычный 2 16" xfId="12"/>
    <cellStyle name="Обычный 2 17" xfId="13"/>
    <cellStyle name="Обычный 2 18" xfId="14"/>
    <cellStyle name="Обычный 2 2" xfId="15"/>
    <cellStyle name="Обычный 2 3" xfId="16"/>
    <cellStyle name="Обычный 2 4" xfId="17"/>
    <cellStyle name="Обычный 2 5" xfId="18"/>
    <cellStyle name="Обычный 2 6" xfId="19"/>
    <cellStyle name="Обычный 2 7" xfId="20"/>
    <cellStyle name="Обычный 2 8" xfId="21"/>
    <cellStyle name="Обычный 2 9" xfId="22"/>
    <cellStyle name="Процентный 2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zoomScale="70" zoomScaleNormal="70" workbookViewId="0">
      <selection activeCell="F3" sqref="F3"/>
    </sheetView>
  </sheetViews>
  <sheetFormatPr defaultRowHeight="15.6"/>
  <cols>
    <col min="1" max="1" width="23.6640625" customWidth="1"/>
    <col min="2" max="2" width="90.5546875" customWidth="1"/>
    <col min="3" max="3" width="15" customWidth="1"/>
    <col min="4" max="5" width="15.44140625" customWidth="1"/>
    <col min="6" max="6" width="13.44140625" style="1" customWidth="1"/>
    <col min="7" max="7" width="13.6640625" style="1" customWidth="1"/>
    <col min="8" max="8" width="11.109375" customWidth="1"/>
    <col min="9" max="9" width="12" customWidth="1"/>
    <col min="12" max="12" width="14.5546875" bestFit="1" customWidth="1"/>
  </cols>
  <sheetData>
    <row r="1" spans="1:9" s="2" customFormat="1" ht="33" customHeight="1">
      <c r="A1" s="93" t="s">
        <v>99</v>
      </c>
      <c r="B1" s="93"/>
      <c r="C1" s="93"/>
      <c r="D1" s="93"/>
      <c r="E1" s="59" t="s">
        <v>95</v>
      </c>
      <c r="F1" s="108" t="s">
        <v>94</v>
      </c>
      <c r="G1" s="109"/>
      <c r="H1" s="102" t="s">
        <v>97</v>
      </c>
      <c r="I1" s="105" t="s">
        <v>96</v>
      </c>
    </row>
    <row r="2" spans="1:9" s="2" customFormat="1" ht="33" customHeight="1">
      <c r="A2" s="93"/>
      <c r="B2" s="93"/>
      <c r="C2" s="93"/>
      <c r="D2" s="93"/>
      <c r="E2" s="60">
        <v>86.62</v>
      </c>
      <c r="F2" s="110">
        <v>0</v>
      </c>
      <c r="G2" s="111"/>
      <c r="H2" s="103"/>
      <c r="I2" s="106"/>
    </row>
    <row r="3" spans="1:9" s="2" customFormat="1" ht="87" customHeight="1" thickBot="1">
      <c r="A3" s="61" t="s">
        <v>54</v>
      </c>
      <c r="B3" s="64" t="s">
        <v>0</v>
      </c>
      <c r="C3" s="62" t="s">
        <v>1</v>
      </c>
      <c r="D3" s="62" t="s">
        <v>21</v>
      </c>
      <c r="E3" s="63" t="s">
        <v>16</v>
      </c>
      <c r="F3" s="63" t="s">
        <v>17</v>
      </c>
      <c r="G3" s="63" t="s">
        <v>98</v>
      </c>
      <c r="H3" s="104"/>
      <c r="I3" s="107"/>
    </row>
    <row r="4" spans="1:9" s="2" customFormat="1" ht="22.5" customHeight="1" thickBot="1">
      <c r="A4" s="35"/>
      <c r="B4" s="32" t="s">
        <v>20</v>
      </c>
      <c r="C4" s="36"/>
      <c r="D4" s="36"/>
      <c r="E4" s="37"/>
      <c r="F4" s="37"/>
      <c r="G4" s="37"/>
      <c r="H4" s="38"/>
      <c r="I4" s="39"/>
    </row>
    <row r="5" spans="1:9" s="2" customFormat="1" ht="21">
      <c r="A5" s="46" t="s">
        <v>43</v>
      </c>
      <c r="B5" s="34" t="s">
        <v>27</v>
      </c>
      <c r="C5" s="9">
        <v>17.16</v>
      </c>
      <c r="D5" s="9">
        <f>C5*(1-F$2)</f>
        <v>17.16</v>
      </c>
      <c r="E5" s="11">
        <f>D5*E$2</f>
        <v>1486.3992000000001</v>
      </c>
      <c r="F5" s="7"/>
      <c r="G5" s="7"/>
      <c r="H5" s="33"/>
      <c r="I5" s="47">
        <f>H5*E5</f>
        <v>0</v>
      </c>
    </row>
    <row r="6" spans="1:9" s="2" customFormat="1" ht="21">
      <c r="A6" s="48" t="s">
        <v>44</v>
      </c>
      <c r="B6" s="14" t="s">
        <v>28</v>
      </c>
      <c r="C6" s="4">
        <v>17.16</v>
      </c>
      <c r="D6" s="4">
        <f t="shared" ref="D6:D60" si="0">C6*(1-F$2)</f>
        <v>17.16</v>
      </c>
      <c r="E6" s="10">
        <f t="shared" ref="E6:E10" si="1">D6*E$2</f>
        <v>1486.3992000000001</v>
      </c>
      <c r="F6" s="6"/>
      <c r="G6" s="6"/>
      <c r="H6" s="16"/>
      <c r="I6" s="49">
        <f t="shared" ref="I6:I60" si="2">H6*E6</f>
        <v>0</v>
      </c>
    </row>
    <row r="7" spans="1:9" s="2" customFormat="1" ht="21">
      <c r="A7" s="48" t="s">
        <v>45</v>
      </c>
      <c r="B7" s="14" t="s">
        <v>29</v>
      </c>
      <c r="C7" s="4">
        <v>11.65</v>
      </c>
      <c r="D7" s="4">
        <f t="shared" si="0"/>
        <v>11.65</v>
      </c>
      <c r="E7" s="10">
        <f t="shared" si="1"/>
        <v>1009.123</v>
      </c>
      <c r="F7" s="6"/>
      <c r="G7" s="6"/>
      <c r="H7" s="16"/>
      <c r="I7" s="49">
        <f t="shared" si="2"/>
        <v>0</v>
      </c>
    </row>
    <row r="8" spans="1:9" s="2" customFormat="1" ht="21">
      <c r="A8" s="48" t="s">
        <v>46</v>
      </c>
      <c r="B8" s="14" t="s">
        <v>31</v>
      </c>
      <c r="C8" s="4">
        <v>11.8</v>
      </c>
      <c r="D8" s="4">
        <f t="shared" si="0"/>
        <v>11.8</v>
      </c>
      <c r="E8" s="10">
        <f t="shared" si="1"/>
        <v>1022.1160000000001</v>
      </c>
      <c r="F8" s="6"/>
      <c r="G8" s="6"/>
      <c r="H8" s="16"/>
      <c r="I8" s="49">
        <f t="shared" si="2"/>
        <v>0</v>
      </c>
    </row>
    <row r="9" spans="1:9" s="2" customFormat="1" ht="21">
      <c r="A9" s="48" t="s">
        <v>47</v>
      </c>
      <c r="B9" s="15" t="s">
        <v>38</v>
      </c>
      <c r="C9" s="17">
        <v>16.7</v>
      </c>
      <c r="D9" s="4">
        <f t="shared" si="0"/>
        <v>16.7</v>
      </c>
      <c r="E9" s="10">
        <f t="shared" si="1"/>
        <v>1446.5540000000001</v>
      </c>
      <c r="F9" s="18"/>
      <c r="G9" s="6"/>
      <c r="H9" s="16"/>
      <c r="I9" s="49">
        <f t="shared" si="2"/>
        <v>0</v>
      </c>
    </row>
    <row r="10" spans="1:9" s="2" customFormat="1" ht="21.6" thickBot="1">
      <c r="A10" s="50" t="s">
        <v>48</v>
      </c>
      <c r="B10" s="40" t="s">
        <v>30</v>
      </c>
      <c r="C10" s="5">
        <v>8.2200000000000006</v>
      </c>
      <c r="D10" s="5">
        <f t="shared" si="0"/>
        <v>8.2200000000000006</v>
      </c>
      <c r="E10" s="41">
        <f t="shared" si="1"/>
        <v>712.01640000000009</v>
      </c>
      <c r="F10" s="42"/>
      <c r="G10" s="42"/>
      <c r="H10" s="43"/>
      <c r="I10" s="51">
        <f t="shared" si="2"/>
        <v>0</v>
      </c>
    </row>
    <row r="11" spans="1:9" s="2" customFormat="1" ht="21.6" thickBot="1">
      <c r="A11" s="35"/>
      <c r="B11" s="32" t="s">
        <v>22</v>
      </c>
      <c r="C11" s="27"/>
      <c r="D11" s="27"/>
      <c r="E11" s="28"/>
      <c r="F11" s="29"/>
      <c r="G11" s="29"/>
      <c r="H11" s="30"/>
      <c r="I11" s="31"/>
    </row>
    <row r="12" spans="1:9" s="2" customFormat="1" ht="24" customHeight="1">
      <c r="A12" s="46" t="s">
        <v>49</v>
      </c>
      <c r="B12" s="13" t="s">
        <v>100</v>
      </c>
      <c r="C12" s="9">
        <v>17.989999999999998</v>
      </c>
      <c r="D12" s="9">
        <f t="shared" si="0"/>
        <v>17.989999999999998</v>
      </c>
      <c r="E12" s="11">
        <f>C12*(1-F$2)*E$2</f>
        <v>1558.2937999999999</v>
      </c>
      <c r="F12" s="7"/>
      <c r="G12" s="7"/>
      <c r="H12" s="33"/>
      <c r="I12" s="47">
        <f t="shared" si="2"/>
        <v>0</v>
      </c>
    </row>
    <row r="13" spans="1:9" s="2" customFormat="1" ht="21">
      <c r="A13" s="48" t="s">
        <v>50</v>
      </c>
      <c r="B13" s="13" t="s">
        <v>33</v>
      </c>
      <c r="C13" s="4">
        <v>15.96</v>
      </c>
      <c r="D13" s="4">
        <f t="shared" si="0"/>
        <v>15.96</v>
      </c>
      <c r="E13" s="10">
        <f>C13*(1-F$2)*E$2</f>
        <v>1382.4552000000001</v>
      </c>
      <c r="F13" s="6"/>
      <c r="G13" s="6"/>
      <c r="H13" s="16"/>
      <c r="I13" s="49">
        <f t="shared" si="2"/>
        <v>0</v>
      </c>
    </row>
    <row r="14" spans="1:9" s="2" customFormat="1" ht="21">
      <c r="A14" s="48" t="s">
        <v>51</v>
      </c>
      <c r="B14" s="13" t="s">
        <v>32</v>
      </c>
      <c r="C14" s="4">
        <v>14.5</v>
      </c>
      <c r="D14" s="4">
        <f t="shared" si="0"/>
        <v>14.5</v>
      </c>
      <c r="E14" s="10">
        <f>C14*(1-F$2)*E$2</f>
        <v>1255.99</v>
      </c>
      <c r="F14" s="6"/>
      <c r="G14" s="6"/>
      <c r="H14" s="16"/>
      <c r="I14" s="49">
        <f t="shared" si="2"/>
        <v>0</v>
      </c>
    </row>
    <row r="15" spans="1:9" s="2" customFormat="1" ht="21">
      <c r="A15" s="48" t="s">
        <v>52</v>
      </c>
      <c r="B15" s="13" t="s">
        <v>34</v>
      </c>
      <c r="C15" s="4">
        <v>12.5</v>
      </c>
      <c r="D15" s="4">
        <f t="shared" si="0"/>
        <v>12.5</v>
      </c>
      <c r="E15" s="10">
        <f>C15*(1-F$2)*E$2</f>
        <v>1082.75</v>
      </c>
      <c r="F15" s="6"/>
      <c r="G15" s="6"/>
      <c r="H15" s="16"/>
      <c r="I15" s="49">
        <f t="shared" si="2"/>
        <v>0</v>
      </c>
    </row>
    <row r="16" spans="1:9" s="2" customFormat="1" ht="21.6" thickBot="1">
      <c r="A16" s="50" t="s">
        <v>53</v>
      </c>
      <c r="B16" s="24" t="s">
        <v>37</v>
      </c>
      <c r="C16" s="5">
        <v>13.8</v>
      </c>
      <c r="D16" s="5">
        <f t="shared" si="0"/>
        <v>13.8</v>
      </c>
      <c r="E16" s="41">
        <f>C16*(1-F$2)*E$2</f>
        <v>1195.3560000000002</v>
      </c>
      <c r="F16" s="42"/>
      <c r="G16" s="42"/>
      <c r="H16" s="43"/>
      <c r="I16" s="51">
        <f t="shared" si="2"/>
        <v>0</v>
      </c>
    </row>
    <row r="17" spans="1:9" s="2" customFormat="1" ht="21.6" thickBot="1">
      <c r="A17" s="65"/>
      <c r="B17" s="66" t="s">
        <v>23</v>
      </c>
      <c r="C17" s="67"/>
      <c r="D17" s="67">
        <f t="shared" si="0"/>
        <v>0</v>
      </c>
      <c r="E17" s="68"/>
      <c r="F17" s="69"/>
      <c r="G17" s="69"/>
      <c r="H17" s="70"/>
      <c r="I17" s="71"/>
    </row>
    <row r="18" spans="1:9" s="2" customFormat="1" ht="21">
      <c r="A18" s="97" t="s">
        <v>55</v>
      </c>
      <c r="B18" s="72" t="s">
        <v>26</v>
      </c>
      <c r="C18" s="73">
        <v>17.059999999999999</v>
      </c>
      <c r="D18" s="73">
        <f t="shared" si="0"/>
        <v>17.059999999999999</v>
      </c>
      <c r="E18" s="90">
        <f>(C18+C19)*(1-F$2)*E$2</f>
        <v>2023.4432000000002</v>
      </c>
      <c r="F18" s="90">
        <f>(E18+(E60/5*0.45))</f>
        <v>2378.5418900000004</v>
      </c>
      <c r="G18" s="90">
        <f>(E18+(E60/5*0.45))/1.45</f>
        <v>1640.3737172413796</v>
      </c>
      <c r="H18" s="77"/>
      <c r="I18" s="74">
        <f t="shared" si="2"/>
        <v>0</v>
      </c>
    </row>
    <row r="19" spans="1:9" s="2" customFormat="1" ht="21">
      <c r="A19" s="98"/>
      <c r="B19" s="13" t="s">
        <v>35</v>
      </c>
      <c r="C19" s="4">
        <v>6.3</v>
      </c>
      <c r="D19" s="4">
        <f t="shared" si="0"/>
        <v>6.3</v>
      </c>
      <c r="E19" s="89"/>
      <c r="F19" s="89"/>
      <c r="G19" s="89"/>
      <c r="H19" s="16"/>
      <c r="I19" s="75">
        <f t="shared" si="2"/>
        <v>0</v>
      </c>
    </row>
    <row r="20" spans="1:9" s="2" customFormat="1" ht="21">
      <c r="A20" s="98" t="s">
        <v>56</v>
      </c>
      <c r="B20" s="13" t="s">
        <v>36</v>
      </c>
      <c r="C20" s="4">
        <v>65.52</v>
      </c>
      <c r="D20" s="4">
        <f t="shared" si="0"/>
        <v>65.52</v>
      </c>
      <c r="E20" s="89">
        <f>(C20+C21)*(1-F$2)*E$2</f>
        <v>6974.6423999999997</v>
      </c>
      <c r="F20" s="89">
        <f>(E20+(E60/5*1.4))/3.5</f>
        <v>2308.3982514285713</v>
      </c>
      <c r="G20" s="89">
        <f>(E20+(E60/5*1.4))/5.6</f>
        <v>1442.7489071428572</v>
      </c>
      <c r="H20" s="16"/>
      <c r="I20" s="76">
        <f t="shared" si="2"/>
        <v>0</v>
      </c>
    </row>
    <row r="21" spans="1:9" s="2" customFormat="1" ht="21">
      <c r="A21" s="98"/>
      <c r="B21" s="13" t="s">
        <v>39</v>
      </c>
      <c r="C21" s="4">
        <v>15</v>
      </c>
      <c r="D21" s="4">
        <f t="shared" si="0"/>
        <v>15</v>
      </c>
      <c r="E21" s="89"/>
      <c r="F21" s="89"/>
      <c r="G21" s="89"/>
      <c r="H21" s="16"/>
      <c r="I21" s="76">
        <f t="shared" si="2"/>
        <v>0</v>
      </c>
    </row>
    <row r="22" spans="1:9" s="2" customFormat="1" ht="24.75" customHeight="1">
      <c r="A22" s="52" t="s">
        <v>58</v>
      </c>
      <c r="B22" s="13" t="s">
        <v>40</v>
      </c>
      <c r="C22" s="4">
        <v>8.9</v>
      </c>
      <c r="D22" s="4">
        <f t="shared" si="0"/>
        <v>8.9</v>
      </c>
      <c r="E22" s="10">
        <f>C22*(1-F$2)*E$2</f>
        <v>770.91800000000012</v>
      </c>
      <c r="F22" s="6"/>
      <c r="G22" s="6"/>
      <c r="H22" s="16"/>
      <c r="I22" s="49">
        <f t="shared" si="2"/>
        <v>0</v>
      </c>
    </row>
    <row r="23" spans="1:9" s="2" customFormat="1" ht="21">
      <c r="A23" s="98" t="s">
        <v>57</v>
      </c>
      <c r="B23" s="13" t="s">
        <v>41</v>
      </c>
      <c r="C23" s="4">
        <v>54.6</v>
      </c>
      <c r="D23" s="4">
        <f t="shared" si="0"/>
        <v>54.6</v>
      </c>
      <c r="E23" s="89">
        <f>(C23+C24)*(1-F$2)*E$2</f>
        <v>6028.7519999999995</v>
      </c>
      <c r="F23" s="89">
        <f>E23/2.8</f>
        <v>2153.1257142857144</v>
      </c>
      <c r="G23" s="89">
        <f>E23/3.5</f>
        <v>1722.5005714285712</v>
      </c>
      <c r="H23" s="16"/>
      <c r="I23" s="49">
        <f t="shared" si="2"/>
        <v>0</v>
      </c>
    </row>
    <row r="24" spans="1:9" s="2" customFormat="1" ht="21">
      <c r="A24" s="98"/>
      <c r="B24" s="13" t="s">
        <v>39</v>
      </c>
      <c r="C24" s="4">
        <v>15</v>
      </c>
      <c r="D24" s="4">
        <f t="shared" si="0"/>
        <v>15</v>
      </c>
      <c r="E24" s="89"/>
      <c r="F24" s="89"/>
      <c r="G24" s="89"/>
      <c r="H24" s="16"/>
      <c r="I24" s="49">
        <f t="shared" si="2"/>
        <v>0</v>
      </c>
    </row>
    <row r="25" spans="1:9" s="2" customFormat="1" ht="21">
      <c r="A25" s="48" t="s">
        <v>59</v>
      </c>
      <c r="B25" s="13" t="s">
        <v>42</v>
      </c>
      <c r="C25" s="4">
        <v>11.5</v>
      </c>
      <c r="D25" s="4">
        <f t="shared" si="0"/>
        <v>11.5</v>
      </c>
      <c r="E25" s="10">
        <f>C25*(1-F$2)*E$2</f>
        <v>996.13000000000011</v>
      </c>
      <c r="F25" s="6"/>
      <c r="G25" s="6"/>
      <c r="H25" s="16"/>
      <c r="I25" s="49">
        <f t="shared" si="2"/>
        <v>0</v>
      </c>
    </row>
    <row r="26" spans="1:9" s="2" customFormat="1" ht="21">
      <c r="A26" s="98" t="s">
        <v>60</v>
      </c>
      <c r="B26" s="13" t="s">
        <v>61</v>
      </c>
      <c r="C26" s="4">
        <v>73.319999999999993</v>
      </c>
      <c r="D26" s="4">
        <f t="shared" si="0"/>
        <v>73.319999999999993</v>
      </c>
      <c r="E26" s="89">
        <f>(C26+C27)*(1-F$2)*E$2</f>
        <v>7650.2784000000001</v>
      </c>
      <c r="F26" s="89">
        <f>(E26+(E60/5*0.7))/2.8</f>
        <v>2929.5193357142862</v>
      </c>
      <c r="G26" s="89">
        <f>(E26+(E60/5*0.7))/4.2</f>
        <v>1953.0128904761905</v>
      </c>
      <c r="H26" s="16"/>
      <c r="I26" s="49">
        <f t="shared" si="2"/>
        <v>0</v>
      </c>
    </row>
    <row r="27" spans="1:9" s="2" customFormat="1" ht="21">
      <c r="A27" s="98"/>
      <c r="B27" s="13" t="s">
        <v>39</v>
      </c>
      <c r="C27" s="4">
        <v>15</v>
      </c>
      <c r="D27" s="4">
        <f t="shared" si="0"/>
        <v>15</v>
      </c>
      <c r="E27" s="89"/>
      <c r="F27" s="89"/>
      <c r="G27" s="89"/>
      <c r="H27" s="16"/>
      <c r="I27" s="49">
        <f t="shared" si="2"/>
        <v>0</v>
      </c>
    </row>
    <row r="28" spans="1:9" s="2" customFormat="1" ht="22.5" customHeight="1">
      <c r="A28" s="48" t="s">
        <v>63</v>
      </c>
      <c r="B28" s="20" t="s">
        <v>62</v>
      </c>
      <c r="C28" s="4">
        <v>38.79</v>
      </c>
      <c r="D28" s="4">
        <f t="shared" si="0"/>
        <v>38.79</v>
      </c>
      <c r="E28" s="10">
        <f>C28*(1-F$2)*E$2</f>
        <v>3359.9898000000003</v>
      </c>
      <c r="F28" s="23">
        <f>E28/0.8</f>
        <v>4199.9872500000001</v>
      </c>
      <c r="G28" s="23">
        <f>E28/1.6</f>
        <v>2099.9936250000001</v>
      </c>
      <c r="H28" s="16"/>
      <c r="I28" s="49">
        <f t="shared" si="2"/>
        <v>0</v>
      </c>
    </row>
    <row r="29" spans="1:9" s="2" customFormat="1" ht="24" customHeight="1">
      <c r="A29" s="53" t="s">
        <v>64</v>
      </c>
      <c r="B29" s="21" t="s">
        <v>65</v>
      </c>
      <c r="C29" s="4">
        <v>12.17</v>
      </c>
      <c r="D29" s="4">
        <f t="shared" si="0"/>
        <v>12.17</v>
      </c>
      <c r="E29" s="10">
        <f>C29*(1-F$2)*E$2</f>
        <v>1054.1654000000001</v>
      </c>
      <c r="F29" s="6"/>
      <c r="G29" s="6"/>
      <c r="H29" s="85"/>
      <c r="I29" s="49">
        <f t="shared" si="2"/>
        <v>0</v>
      </c>
    </row>
    <row r="30" spans="1:9" s="2" customFormat="1" ht="21" customHeight="1">
      <c r="A30" s="98" t="s">
        <v>66</v>
      </c>
      <c r="B30" s="13" t="s">
        <v>18</v>
      </c>
      <c r="C30" s="4">
        <v>39</v>
      </c>
      <c r="D30" s="4">
        <f t="shared" si="0"/>
        <v>39</v>
      </c>
      <c r="E30" s="89">
        <f>(C30+C31)*(1-F$2)*E$2</f>
        <v>4677.4800000000005</v>
      </c>
      <c r="F30" s="89">
        <f>E30/0.7</f>
        <v>6682.1142857142868</v>
      </c>
      <c r="G30" s="89">
        <f>E30/1.4</f>
        <v>3341.0571428571434</v>
      </c>
      <c r="H30" s="16"/>
      <c r="I30" s="49">
        <f t="shared" si="2"/>
        <v>0</v>
      </c>
    </row>
    <row r="31" spans="1:9" s="2" customFormat="1" ht="21">
      <c r="A31" s="98"/>
      <c r="B31" s="13" t="s">
        <v>39</v>
      </c>
      <c r="C31" s="4">
        <v>15</v>
      </c>
      <c r="D31" s="4">
        <f t="shared" si="0"/>
        <v>15</v>
      </c>
      <c r="E31" s="89"/>
      <c r="F31" s="89"/>
      <c r="G31" s="89"/>
      <c r="H31" s="16"/>
      <c r="I31" s="49">
        <f t="shared" si="2"/>
        <v>0</v>
      </c>
    </row>
    <row r="32" spans="1:9" s="2" customFormat="1" ht="21">
      <c r="A32" s="98" t="s">
        <v>67</v>
      </c>
      <c r="B32" s="13" t="s">
        <v>68</v>
      </c>
      <c r="C32" s="4">
        <v>66</v>
      </c>
      <c r="D32" s="4">
        <f t="shared" si="0"/>
        <v>66</v>
      </c>
      <c r="E32" s="89">
        <f>(C32+C33)*(1-F$2)*E$2</f>
        <v>7016.22</v>
      </c>
      <c r="F32" s="89">
        <f>E32/2.8</f>
        <v>2505.7928571428574</v>
      </c>
      <c r="G32" s="89">
        <f>(E32+C60/17.86)/3.78</f>
        <v>1856.8175640045743</v>
      </c>
      <c r="H32" s="16"/>
      <c r="I32" s="49">
        <f>H32*E32</f>
        <v>0</v>
      </c>
    </row>
    <row r="33" spans="1:12" s="2" customFormat="1" ht="21">
      <c r="A33" s="98"/>
      <c r="B33" s="13" t="s">
        <v>39</v>
      </c>
      <c r="C33" s="4">
        <v>15</v>
      </c>
      <c r="D33" s="4">
        <f t="shared" si="0"/>
        <v>15</v>
      </c>
      <c r="E33" s="89"/>
      <c r="F33" s="89"/>
      <c r="G33" s="89"/>
      <c r="H33" s="16"/>
      <c r="I33" s="49">
        <f>H33*E33</f>
        <v>0</v>
      </c>
    </row>
    <row r="34" spans="1:12" s="2" customFormat="1" ht="21">
      <c r="A34" s="98" t="s">
        <v>70</v>
      </c>
      <c r="B34" s="13" t="s">
        <v>71</v>
      </c>
      <c r="C34" s="4">
        <v>90</v>
      </c>
      <c r="D34" s="4">
        <f t="shared" si="0"/>
        <v>90</v>
      </c>
      <c r="E34" s="89">
        <f>(C34+C35)*(1-F$2)*E$2</f>
        <v>9095.1</v>
      </c>
      <c r="F34" s="89">
        <f>(C34+(C35/0.7*0.93)+C60/5*1.12)/2.8*(1-F$2)*E$2</f>
        <v>3716.362157551021</v>
      </c>
      <c r="G34" s="89">
        <f>(C34+(C35/0.7*0.93)+C60/5*1.12)/4.85*(1-F$2)*E$2</f>
        <v>2145.5286682768779</v>
      </c>
      <c r="H34" s="23"/>
      <c r="I34" s="49">
        <f>H34*E34</f>
        <v>0</v>
      </c>
      <c r="J34" s="3"/>
      <c r="L34" s="12"/>
    </row>
    <row r="35" spans="1:12" s="2" customFormat="1" ht="21.6" thickBot="1">
      <c r="A35" s="99"/>
      <c r="B35" s="55" t="s">
        <v>72</v>
      </c>
      <c r="C35" s="8">
        <v>15</v>
      </c>
      <c r="D35" s="8">
        <f t="shared" si="0"/>
        <v>15</v>
      </c>
      <c r="E35" s="91"/>
      <c r="F35" s="91"/>
      <c r="G35" s="91"/>
      <c r="H35" s="86"/>
      <c r="I35" s="58">
        <f>H35*E35</f>
        <v>0</v>
      </c>
      <c r="J35" s="3"/>
    </row>
    <row r="36" spans="1:12" s="2" customFormat="1" ht="21.6" thickBot="1">
      <c r="A36" s="78"/>
      <c r="B36" s="79" t="s">
        <v>69</v>
      </c>
      <c r="C36" s="80"/>
      <c r="D36" s="80">
        <f t="shared" ref="D36" si="3">C36*(1-F$2)</f>
        <v>0</v>
      </c>
      <c r="E36" s="81"/>
      <c r="F36" s="82"/>
      <c r="G36" s="82"/>
      <c r="H36" s="83"/>
      <c r="I36" s="84"/>
    </row>
    <row r="37" spans="1:12" s="2" customFormat="1" ht="21">
      <c r="A37" s="94" t="s">
        <v>73</v>
      </c>
      <c r="B37" s="22" t="s">
        <v>74</v>
      </c>
      <c r="C37" s="9">
        <v>230</v>
      </c>
      <c r="D37" s="9">
        <f t="shared" si="0"/>
        <v>230</v>
      </c>
      <c r="E37" s="92">
        <f>(C37+C38)*(1-F$2)*E$2</f>
        <v>27631.780000000002</v>
      </c>
      <c r="F37" s="92">
        <f>E37/5</f>
        <v>5526.3560000000007</v>
      </c>
      <c r="G37" s="92">
        <f>E37/7.5</f>
        <v>3684.2373333333335</v>
      </c>
      <c r="H37" s="25"/>
      <c r="I37" s="47">
        <f t="shared" si="2"/>
        <v>0</v>
      </c>
      <c r="J37" s="3"/>
    </row>
    <row r="38" spans="1:12" s="2" customFormat="1" ht="21">
      <c r="A38" s="95"/>
      <c r="B38" s="13" t="s">
        <v>12</v>
      </c>
      <c r="C38" s="4">
        <v>89</v>
      </c>
      <c r="D38" s="4">
        <f t="shared" si="0"/>
        <v>89</v>
      </c>
      <c r="E38" s="89"/>
      <c r="F38" s="89"/>
      <c r="G38" s="89"/>
      <c r="H38" s="23"/>
      <c r="I38" s="49">
        <f t="shared" si="2"/>
        <v>0</v>
      </c>
      <c r="J38" s="3"/>
    </row>
    <row r="39" spans="1:12" s="2" customFormat="1" ht="21">
      <c r="A39" s="96" t="s">
        <v>75</v>
      </c>
      <c r="B39" s="13" t="s">
        <v>11</v>
      </c>
      <c r="C39" s="4">
        <v>183</v>
      </c>
      <c r="D39" s="4">
        <f t="shared" si="0"/>
        <v>183</v>
      </c>
      <c r="E39" s="89">
        <f>(C39+C40)*(1-F$2)*E$2</f>
        <v>23560.639999999999</v>
      </c>
      <c r="F39" s="89">
        <f>E39/5</f>
        <v>4712.1279999999997</v>
      </c>
      <c r="G39" s="89">
        <f>E39/7.5</f>
        <v>3141.4186666666665</v>
      </c>
      <c r="H39" s="16"/>
      <c r="I39" s="49">
        <f t="shared" si="2"/>
        <v>0</v>
      </c>
      <c r="J39" s="3"/>
    </row>
    <row r="40" spans="1:12" s="2" customFormat="1" ht="21">
      <c r="A40" s="95"/>
      <c r="B40" s="13" t="s">
        <v>12</v>
      </c>
      <c r="C40" s="4">
        <v>89</v>
      </c>
      <c r="D40" s="4">
        <f t="shared" si="0"/>
        <v>89</v>
      </c>
      <c r="E40" s="89"/>
      <c r="F40" s="89"/>
      <c r="G40" s="89"/>
      <c r="H40" s="16"/>
      <c r="I40" s="49">
        <f t="shared" si="2"/>
        <v>0</v>
      </c>
    </row>
    <row r="41" spans="1:12" s="2" customFormat="1" ht="21">
      <c r="A41" s="96" t="s">
        <v>76</v>
      </c>
      <c r="B41" s="13" t="s">
        <v>19</v>
      </c>
      <c r="C41" s="4">
        <v>145</v>
      </c>
      <c r="D41" s="4">
        <f t="shared" si="0"/>
        <v>145</v>
      </c>
      <c r="E41" s="89">
        <f>(C41+C42)*(1-F$2)*E$2</f>
        <v>20269.080000000002</v>
      </c>
      <c r="F41" s="89">
        <f>E41/5</f>
        <v>4053.8160000000003</v>
      </c>
      <c r="G41" s="89">
        <f>E41/7.5</f>
        <v>2702.5440000000003</v>
      </c>
      <c r="H41" s="16"/>
      <c r="I41" s="49">
        <f t="shared" si="2"/>
        <v>0</v>
      </c>
    </row>
    <row r="42" spans="1:12" s="2" customFormat="1" ht="21">
      <c r="A42" s="95"/>
      <c r="B42" s="13" t="s">
        <v>15</v>
      </c>
      <c r="C42" s="4">
        <v>89</v>
      </c>
      <c r="D42" s="4">
        <f t="shared" si="0"/>
        <v>89</v>
      </c>
      <c r="E42" s="89"/>
      <c r="F42" s="89"/>
      <c r="G42" s="89"/>
      <c r="H42" s="16"/>
      <c r="I42" s="49">
        <f t="shared" si="2"/>
        <v>0</v>
      </c>
    </row>
    <row r="43" spans="1:12" s="2" customFormat="1" ht="21">
      <c r="A43" s="96" t="s">
        <v>77</v>
      </c>
      <c r="B43" s="13" t="s">
        <v>3</v>
      </c>
      <c r="C43" s="4">
        <v>111.59</v>
      </c>
      <c r="D43" s="4">
        <f t="shared" si="0"/>
        <v>111.59</v>
      </c>
      <c r="E43" s="89">
        <f>(C43+(C44/2.5*1.66))*(1-F$2)*E$2</f>
        <v>14784.821320000001</v>
      </c>
      <c r="F43" s="89">
        <f>E43/5</f>
        <v>2956.9642640000002</v>
      </c>
      <c r="G43" s="89">
        <f>E43/6.66</f>
        <v>2219.943141141141</v>
      </c>
      <c r="H43" s="16"/>
      <c r="I43" s="49">
        <f t="shared" si="2"/>
        <v>0</v>
      </c>
    </row>
    <row r="44" spans="1:12" s="2" customFormat="1" ht="21">
      <c r="A44" s="95"/>
      <c r="B44" s="13" t="s">
        <v>4</v>
      </c>
      <c r="C44" s="4">
        <v>89</v>
      </c>
      <c r="D44" s="4">
        <f t="shared" si="0"/>
        <v>89</v>
      </c>
      <c r="E44" s="89"/>
      <c r="F44" s="89"/>
      <c r="G44" s="89"/>
      <c r="H44" s="16"/>
      <c r="I44" s="49">
        <f t="shared" si="2"/>
        <v>0</v>
      </c>
    </row>
    <row r="45" spans="1:12" s="2" customFormat="1" ht="21">
      <c r="A45" s="96" t="s">
        <v>78</v>
      </c>
      <c r="B45" s="13" t="s">
        <v>5</v>
      </c>
      <c r="C45" s="4">
        <v>111.8</v>
      </c>
      <c r="D45" s="4">
        <f t="shared" si="0"/>
        <v>111.8</v>
      </c>
      <c r="E45" s="89">
        <f>(C45+C46)*(1-F$2)*E$2</f>
        <v>17393.296000000002</v>
      </c>
      <c r="F45" s="89">
        <f>E45/5</f>
        <v>3478.6592000000005</v>
      </c>
      <c r="G45" s="89">
        <f>E45/7.5</f>
        <v>2319.1061333333337</v>
      </c>
      <c r="H45" s="16"/>
      <c r="I45" s="49">
        <f t="shared" si="2"/>
        <v>0</v>
      </c>
    </row>
    <row r="46" spans="1:12" s="2" customFormat="1" ht="21">
      <c r="A46" s="95"/>
      <c r="B46" s="13" t="s">
        <v>6</v>
      </c>
      <c r="C46" s="4">
        <v>89</v>
      </c>
      <c r="D46" s="4">
        <f t="shared" si="0"/>
        <v>89</v>
      </c>
      <c r="E46" s="89"/>
      <c r="F46" s="89"/>
      <c r="G46" s="89"/>
      <c r="H46" s="16"/>
      <c r="I46" s="49">
        <f t="shared" si="2"/>
        <v>0</v>
      </c>
    </row>
    <row r="47" spans="1:12" s="2" customFormat="1" ht="21">
      <c r="A47" s="100" t="s">
        <v>79</v>
      </c>
      <c r="B47" s="13" t="s">
        <v>10</v>
      </c>
      <c r="C47" s="4">
        <v>95</v>
      </c>
      <c r="D47" s="4">
        <f t="shared" si="0"/>
        <v>95</v>
      </c>
      <c r="E47" s="89">
        <f>(C47+C48)*(1-F$2)*E$2</f>
        <v>13772.58</v>
      </c>
      <c r="F47" s="89">
        <f>(E47+(E60/5))/5</f>
        <v>2912.3376400000002</v>
      </c>
      <c r="G47" s="89">
        <f>(E47+(E60/5))/8.5</f>
        <v>1713.1397882352942</v>
      </c>
      <c r="H47" s="16"/>
      <c r="I47" s="49">
        <f t="shared" si="2"/>
        <v>0</v>
      </c>
    </row>
    <row r="48" spans="1:12" s="2" customFormat="1" ht="21">
      <c r="A48" s="101"/>
      <c r="B48" s="13" t="s">
        <v>7</v>
      </c>
      <c r="C48" s="4">
        <v>64</v>
      </c>
      <c r="D48" s="4">
        <f t="shared" si="0"/>
        <v>64</v>
      </c>
      <c r="E48" s="89"/>
      <c r="F48" s="89"/>
      <c r="G48" s="89"/>
      <c r="H48" s="16"/>
      <c r="I48" s="49">
        <f t="shared" si="2"/>
        <v>0</v>
      </c>
    </row>
    <row r="49" spans="1:9" s="2" customFormat="1" ht="21">
      <c r="A49" s="96" t="s">
        <v>80</v>
      </c>
      <c r="B49" s="13" t="s">
        <v>8</v>
      </c>
      <c r="C49" s="4">
        <v>76.33</v>
      </c>
      <c r="D49" s="4">
        <f t="shared" si="0"/>
        <v>76.33</v>
      </c>
      <c r="E49" s="89">
        <f>(C49+C50)*(1-F$2)*E$2</f>
        <v>10422.9846</v>
      </c>
      <c r="F49" s="89">
        <f>E49/5</f>
        <v>2084.59692</v>
      </c>
      <c r="G49" s="89">
        <f>E49/7.5</f>
        <v>1389.73128</v>
      </c>
      <c r="H49" s="16"/>
      <c r="I49" s="49">
        <f t="shared" si="2"/>
        <v>0</v>
      </c>
    </row>
    <row r="50" spans="1:9" s="2" customFormat="1" ht="21">
      <c r="A50" s="95"/>
      <c r="B50" s="13" t="s">
        <v>9</v>
      </c>
      <c r="C50" s="4">
        <v>44</v>
      </c>
      <c r="D50" s="4">
        <f t="shared" si="0"/>
        <v>44</v>
      </c>
      <c r="E50" s="89"/>
      <c r="F50" s="89"/>
      <c r="G50" s="89"/>
      <c r="H50" s="16"/>
      <c r="I50" s="49">
        <f t="shared" si="2"/>
        <v>0</v>
      </c>
    </row>
    <row r="51" spans="1:9" s="2" customFormat="1" ht="21">
      <c r="A51" s="100" t="s">
        <v>81</v>
      </c>
      <c r="B51" s="13" t="s">
        <v>13</v>
      </c>
      <c r="C51" s="4">
        <v>15.91</v>
      </c>
      <c r="D51" s="4">
        <f t="shared" si="0"/>
        <v>15.91</v>
      </c>
      <c r="E51" s="89">
        <f>(C51+C52)*(1-F$2)*E$2</f>
        <v>2244.3242</v>
      </c>
      <c r="F51" s="89"/>
      <c r="G51" s="89">
        <f>E51/1.5</f>
        <v>1496.2161333333333</v>
      </c>
      <c r="H51" s="16"/>
      <c r="I51" s="49">
        <f t="shared" si="2"/>
        <v>0</v>
      </c>
    </row>
    <row r="52" spans="1:9" s="2" customFormat="1" ht="21">
      <c r="A52" s="101"/>
      <c r="B52" s="13" t="s">
        <v>14</v>
      </c>
      <c r="C52" s="4">
        <v>10</v>
      </c>
      <c r="D52" s="4">
        <f t="shared" si="0"/>
        <v>10</v>
      </c>
      <c r="E52" s="89"/>
      <c r="F52" s="89"/>
      <c r="G52" s="89"/>
      <c r="H52" s="16"/>
      <c r="I52" s="49">
        <f t="shared" si="2"/>
        <v>0</v>
      </c>
    </row>
    <row r="53" spans="1:9" s="2" customFormat="1" ht="17.25" customHeight="1">
      <c r="A53" s="96" t="s">
        <v>82</v>
      </c>
      <c r="B53" s="20" t="s">
        <v>25</v>
      </c>
      <c r="C53" s="19">
        <v>31</v>
      </c>
      <c r="D53" s="4">
        <f t="shared" si="0"/>
        <v>31</v>
      </c>
      <c r="E53" s="89">
        <f>(C53+C54)*(1-F$2)*E$2</f>
        <v>3984.5200000000004</v>
      </c>
      <c r="F53" s="89">
        <f>E53</f>
        <v>3984.5200000000004</v>
      </c>
      <c r="G53" s="89">
        <f>E53/1.5</f>
        <v>2656.3466666666668</v>
      </c>
      <c r="H53" s="16"/>
      <c r="I53" s="49">
        <f t="shared" si="2"/>
        <v>0</v>
      </c>
    </row>
    <row r="54" spans="1:9" s="2" customFormat="1" ht="21.6" thickBot="1">
      <c r="A54" s="95"/>
      <c r="B54" s="20" t="s">
        <v>2</v>
      </c>
      <c r="C54" s="4">
        <v>15</v>
      </c>
      <c r="D54" s="4">
        <f t="shared" si="0"/>
        <v>15</v>
      </c>
      <c r="E54" s="89"/>
      <c r="F54" s="89"/>
      <c r="G54" s="89"/>
      <c r="H54" s="16"/>
      <c r="I54" s="49">
        <f t="shared" si="2"/>
        <v>0</v>
      </c>
    </row>
    <row r="55" spans="1:9" s="2" customFormat="1" ht="21.6" thickBot="1">
      <c r="A55" s="26"/>
      <c r="B55" s="32" t="s">
        <v>85</v>
      </c>
      <c r="C55" s="27"/>
      <c r="D55" s="27">
        <f t="shared" si="0"/>
        <v>0</v>
      </c>
      <c r="E55" s="28"/>
      <c r="F55" s="29"/>
      <c r="G55" s="29"/>
      <c r="H55" s="30"/>
      <c r="I55" s="31"/>
    </row>
    <row r="56" spans="1:9" s="2" customFormat="1" ht="21">
      <c r="A56" s="48" t="s">
        <v>83</v>
      </c>
      <c r="B56" s="13" t="s">
        <v>84</v>
      </c>
      <c r="C56" s="19">
        <v>11.5</v>
      </c>
      <c r="D56" s="4">
        <f t="shared" si="0"/>
        <v>11.5</v>
      </c>
      <c r="E56" s="10">
        <f>C56*(1-F$2)*E$2</f>
        <v>996.13000000000011</v>
      </c>
      <c r="F56" s="6"/>
      <c r="G56" s="6"/>
      <c r="H56" s="16"/>
      <c r="I56" s="49">
        <f t="shared" si="2"/>
        <v>0</v>
      </c>
    </row>
    <row r="57" spans="1:9" ht="21">
      <c r="A57" s="48" t="s">
        <v>86</v>
      </c>
      <c r="B57" s="13" t="s">
        <v>89</v>
      </c>
      <c r="C57" s="4">
        <v>8.2200000000000006</v>
      </c>
      <c r="D57" s="4">
        <f t="shared" si="0"/>
        <v>8.2200000000000006</v>
      </c>
      <c r="E57" s="10">
        <f>C57*(1-F$2)*E$2</f>
        <v>712.01640000000009</v>
      </c>
      <c r="F57" s="6"/>
      <c r="G57" s="6"/>
      <c r="H57" s="87"/>
      <c r="I57" s="49">
        <f t="shared" si="2"/>
        <v>0</v>
      </c>
    </row>
    <row r="58" spans="1:9" ht="21">
      <c r="A58" s="48" t="s">
        <v>87</v>
      </c>
      <c r="B58" s="13" t="s">
        <v>90</v>
      </c>
      <c r="C58" s="4">
        <v>37.5</v>
      </c>
      <c r="D58" s="4">
        <f t="shared" si="0"/>
        <v>37.5</v>
      </c>
      <c r="E58" s="10">
        <f>C58*(1-F$2)*E$2</f>
        <v>3248.25</v>
      </c>
      <c r="F58" s="6"/>
      <c r="G58" s="6"/>
      <c r="H58" s="87"/>
      <c r="I58" s="49">
        <f t="shared" si="2"/>
        <v>0</v>
      </c>
    </row>
    <row r="59" spans="1:9" ht="21">
      <c r="A59" s="48" t="s">
        <v>93</v>
      </c>
      <c r="B59" s="13" t="s">
        <v>91</v>
      </c>
      <c r="C59" s="4">
        <v>10.92</v>
      </c>
      <c r="D59" s="4">
        <f t="shared" si="0"/>
        <v>10.92</v>
      </c>
      <c r="E59" s="10">
        <f>C59*(1-F$2)*E$2</f>
        <v>945.8904</v>
      </c>
      <c r="F59" s="6"/>
      <c r="G59" s="6"/>
      <c r="H59" s="87"/>
      <c r="I59" s="49">
        <f t="shared" si="2"/>
        <v>0</v>
      </c>
    </row>
    <row r="60" spans="1:9" ht="21.6" thickBot="1">
      <c r="A60" s="54" t="s">
        <v>88</v>
      </c>
      <c r="B60" s="55" t="s">
        <v>92</v>
      </c>
      <c r="C60" s="8">
        <v>45.55</v>
      </c>
      <c r="D60" s="8">
        <f t="shared" si="0"/>
        <v>45.55</v>
      </c>
      <c r="E60" s="56">
        <f>C60*(1-F$2)*E$2</f>
        <v>3945.5410000000002</v>
      </c>
      <c r="F60" s="57"/>
      <c r="G60" s="57"/>
      <c r="H60" s="88"/>
      <c r="I60" s="58">
        <f t="shared" si="2"/>
        <v>0</v>
      </c>
    </row>
    <row r="61" spans="1:9" ht="25.8">
      <c r="H61" s="44" t="s">
        <v>24</v>
      </c>
      <c r="I61" s="45">
        <f>SUM(I5:I60)</f>
        <v>0</v>
      </c>
    </row>
  </sheetData>
  <mergeCells count="69">
    <mergeCell ref="H1:H3"/>
    <mergeCell ref="I1:I3"/>
    <mergeCell ref="E49:E50"/>
    <mergeCell ref="F49:F50"/>
    <mergeCell ref="G49:G50"/>
    <mergeCell ref="E47:E48"/>
    <mergeCell ref="F1:G1"/>
    <mergeCell ref="F2:G2"/>
    <mergeCell ref="F47:F48"/>
    <mergeCell ref="G47:G48"/>
    <mergeCell ref="G26:G27"/>
    <mergeCell ref="E30:E31"/>
    <mergeCell ref="F30:F31"/>
    <mergeCell ref="G30:G31"/>
    <mergeCell ref="F45:F46"/>
    <mergeCell ref="E39:E40"/>
    <mergeCell ref="E51:E52"/>
    <mergeCell ref="F51:F52"/>
    <mergeCell ref="G51:G52"/>
    <mergeCell ref="E53:E54"/>
    <mergeCell ref="F53:F54"/>
    <mergeCell ref="G53:G54"/>
    <mergeCell ref="A47:A48"/>
    <mergeCell ref="A49:A50"/>
    <mergeCell ref="A51:A52"/>
    <mergeCell ref="A53:A54"/>
    <mergeCell ref="A45:A46"/>
    <mergeCell ref="E43:E44"/>
    <mergeCell ref="F43:F44"/>
    <mergeCell ref="G43:G44"/>
    <mergeCell ref="A1:D2"/>
    <mergeCell ref="A37:A38"/>
    <mergeCell ref="A39:A40"/>
    <mergeCell ref="A41:A42"/>
    <mergeCell ref="A43:A44"/>
    <mergeCell ref="A18:A19"/>
    <mergeCell ref="A20:A21"/>
    <mergeCell ref="A34:A35"/>
    <mergeCell ref="A23:A24"/>
    <mergeCell ref="A26:A27"/>
    <mergeCell ref="A30:A31"/>
    <mergeCell ref="A32:A33"/>
    <mergeCell ref="E18:E19"/>
    <mergeCell ref="E45:E46"/>
    <mergeCell ref="G45:G46"/>
    <mergeCell ref="F32:F33"/>
    <mergeCell ref="G32:G33"/>
    <mergeCell ref="E34:E35"/>
    <mergeCell ref="F34:F35"/>
    <mergeCell ref="G34:G35"/>
    <mergeCell ref="E41:E42"/>
    <mergeCell ref="F41:F42"/>
    <mergeCell ref="G41:G42"/>
    <mergeCell ref="E37:E38"/>
    <mergeCell ref="F37:F38"/>
    <mergeCell ref="G37:G38"/>
    <mergeCell ref="E32:E33"/>
    <mergeCell ref="F39:F40"/>
    <mergeCell ref="G39:G40"/>
    <mergeCell ref="F18:F19"/>
    <mergeCell ref="G18:G19"/>
    <mergeCell ref="E20:E21"/>
    <mergeCell ref="F20:F21"/>
    <mergeCell ref="G20:G21"/>
    <mergeCell ref="E23:E24"/>
    <mergeCell ref="F23:F24"/>
    <mergeCell ref="G23:G24"/>
    <mergeCell ref="E26:E27"/>
    <mergeCell ref="F26:F27"/>
  </mergeCells>
  <pageMargins left="0.23622047244094491" right="0.23622047244094491" top="0.74803149606299213" bottom="0.74803149606299213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 рубли</vt:lpstr>
    </vt:vector>
  </TitlesOfParts>
  <Company>MultiDVD Team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a.kozyrev</dc:creator>
  <cp:lastModifiedBy>Platonov Vasily</cp:lastModifiedBy>
  <cp:lastPrinted>2021-08-11T10:35:15Z</cp:lastPrinted>
  <dcterms:created xsi:type="dcterms:W3CDTF">2011-05-25T07:55:20Z</dcterms:created>
  <dcterms:modified xsi:type="dcterms:W3CDTF">2021-09-05T08:59:43Z</dcterms:modified>
</cp:coreProperties>
</file>